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 activeTab="5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ФХД'!$H$45:$N$45</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ФХД'!$H$36:$N$36</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Дифференциация!$I$12:$I$23</definedName>
    <definedName name="DIFFERENTIATION_AREA_ID">Дифференциация!$U$11:$U$24</definedName>
    <definedName name="DIFFERENTIATION_CheckC">Дифференциация!$D$12:$M$23</definedName>
    <definedName name="DIFFERENTIATION_fieldMarker">Дифференциация!$W$12:$W$23</definedName>
    <definedName name="DIFFERENTIATION_ID">TEHSHEET!$E$57</definedName>
    <definedName name="DIFFERENTIATION_ID_DIFF">Дифференциация!$O$12:$O$23</definedName>
    <definedName name="DIFFERENTIATION_SYSTEM">Дифференциация!$M$12:$M$23</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Дифференциация!$Q$12:$Q$23</definedName>
    <definedName name="DIFFERENTIATION_UNMERGE_SYSTEM">Дифференциация!$R$12:$R$23</definedName>
    <definedName name="DIFFERENTIATION_UNMERGE_VD">Дифференциация!$P$12:$P$23</definedName>
    <definedName name="DIFFERENTIATION_VD">Дифференциация!$E$12:$E$23</definedName>
    <definedName name="DIFFERENTIATION_VD_ID">Дифференциация!$V$11:$V$24</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Детализация'!$A$392:$A$392</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Комментарии!$C$11:$C$21</definedName>
    <definedName name="pDel_DIFFERENTIATION_AREA">Дифференциация!$G$12:$G$23</definedName>
    <definedName name="pDel_DIFFERENTIATION_SYSTEM">Дифференциация!$K$12:$K$23</definedName>
    <definedName name="pDel_DIFFERENTIATION_VD">Дифференциация!$C$12:$C$23</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Комментарии!$E$21</definedName>
    <definedName name="pIns_ED">ЭД!$E$13</definedName>
    <definedName name="pIns_IP_DETAILED">'ИП. Детализация'!$F$392</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ФХД'!$N$131</definedName>
    <definedName name="tblEnd_1_B_FHD_TKO">'ТКО. Показатели ФХД'!$N$49</definedName>
    <definedName name="tblEnd_1_B_FHD_TKO_TRANS">'ТКО. Транс. Показатели ФХД'!$N$43</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Дифференциация!$M$24</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Детализация'!$AH$392</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Дифференциация!$F$12:$F$23</definedName>
    <definedName name="Y_N_DIFFERENTIATION_SYSTEM">Дифференциация!$J$12:$J$23</definedName>
    <definedName name="YEAR_IP_LIST">TEHSHEET!$BE$2:$BE$74</definedName>
    <definedName name="year_list">TEHSHEET!$C$2:$C$6</definedName>
    <definedName name="year_list1">TEHSHEET!$B$2:$B$27</definedName>
    <definedName name="REESTR_IP_RANGE">REESTR_IP!$A$2:$I$106</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REESTR_DS!$B$2:$B$4</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IP_MAIN_ip_5">ИП!$13:$14</definedName>
    <definedName name="IP_QRE_ip_5">'ИП. КНЭ'!$21:$23</definedName>
    <definedName name="IP_DETAILED_ip_5">'ИП. Детализация'!$14:$391</definedName>
    <definedName name="IP_FIN_PLAN_ip_5">'ИП. Финансовый план'!$K$11:$R$11</definedName>
    <definedName name="REESTR_INFR_RANGE">REESTR_OBJ_INFR!$A$2:$AL$11</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<sst xmlns="http://schemas.openxmlformats.org/spreadsheetml/2006/main" count="19351" uniqueCount="4088">
  <si>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</si>
  <si>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</si>
  <si>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</si>
  <si>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</si>
  <si>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</si>
  <si>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</si>
  <si>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</si>
  <si>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</si>
  <si>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</si>
  <si>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</si>
  <si>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</si>
  <si>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</si>
  <si>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</si>
  <si>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</si>
  <si>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</si>
  <si>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</si>
  <si>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</si>
  <si>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</si>
  <si>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</si>
  <si>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</si>
  <si>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</si>
  <si>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</si>
  <si>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</si>
  <si>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</si>
  <si>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</si>
  <si>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</si>
  <si>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</si>
  <si>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</si>
  <si>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</si>
  <si>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</si>
  <si>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</si>
  <si>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</si>
  <si>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</si>
  <si>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</si>
  <si>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</si>
  <si>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</si>
  <si>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</si>
  <si>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</si>
  <si>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</si>
  <si>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</si>
  <si>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</si>
  <si>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</si>
  <si>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</si>
  <si>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</si>
  <si>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</si>
  <si>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</si>
  <si>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</si>
  <si>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</si>
  <si>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</si>
  <si>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</si>
  <si>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</si>
  <si>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</si>
  <si>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</si>
  <si>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</si>
  <si>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</si>
  <si>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</si>
  <si>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</si>
  <si>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</si>
  <si>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</si>
  <si>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</si>
  <si>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</si>
  <si>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да</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</si>
  <si>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</si>
  <si>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</si>
  <si>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</si>
  <si>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</si>
  <si>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</si>
  <si>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</si>
  <si>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</si>
  <si>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</si>
  <si>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 Хабаровск, ул. Фрунзе, 49 </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</si>
  <si>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</si>
  <si>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</si>
  <si>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</si>
  <si>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</si>
  <si>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</si>
  <si>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</si>
  <si>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</si>
  <si>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</si>
  <si>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</si>
  <si>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</si>
  <si>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</si>
  <si>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</si>
  <si>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</si>
  <si>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</si>
  <si>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</si>
  <si>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</si>
  <si>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</si>
  <si>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</si>
  <si>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</si>
  <si>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</si>
  <si>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</si>
  <si>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</si>
  <si>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</si>
  <si>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</si>
  <si>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</si>
  <si>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</si>
  <si>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</si>
  <si>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</si>
  <si>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</si>
  <si>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</si>
  <si>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</si>
  <si>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</si>
  <si>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</si>
  <si>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</si>
  <si>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</si>
  <si>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</si>
  <si>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</si>
  <si>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</si>
  <si>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</si>
  <si>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</si>
  <si>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</si>
  <si>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</si>
  <si>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</si>
  <si>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</si>
  <si>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</si>
  <si>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</si>
  <si>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</si>
  <si>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</si>
  <si>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</si>
  <si>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</si>
  <si>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</si>
  <si>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</si>
  <si>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</si>
  <si>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</si>
  <si>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ТС Благовещенск</t>
  </si>
  <si>
    <t>diff_1</t>
  </si>
  <si>
    <t>4190066; 4190068; 4190070; 4190072</t>
  </si>
  <si>
    <t>a</t>
  </si>
  <si>
    <t>Добавить централизованную систему</t>
  </si>
  <si>
    <t>Добавить описание территории</t>
  </si>
  <si>
    <t>Райчихинская ГРЭС, ТС Прогресс</t>
  </si>
  <si>
    <t>diff_5</t>
  </si>
  <si>
    <t>4190064; 4190066; 4190068; 4190070; 4190072</t>
  </si>
  <si>
    <t>Котельная (Новорайчихинск)</t>
  </si>
  <si>
    <t>diff_51</t>
  </si>
  <si>
    <t>Благовещенская ТЭЦ (с. Чигири)</t>
  </si>
  <si>
    <t>diff_511</t>
  </si>
  <si>
    <t>Котельная Центральная (с.Чигири)</t>
  </si>
  <si>
    <t>diff_5111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</si>
  <si>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</si>
  <si>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</si>
  <si>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</si>
  <si>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</si>
  <si>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</si>
  <si>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</si>
  <si>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</si>
  <si>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</si>
  <si>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</si>
  <si>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</si>
  <si>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</si>
  <si>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</si>
  <si>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</si>
  <si>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</si>
  <si>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</si>
  <si>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</si>
  <si>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</si>
  <si>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</si>
  <si>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</si>
  <si>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</si>
  <si>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</si>
  <si>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</si>
  <si>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</si>
  <si>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</si>
  <si>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</si>
  <si>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</si>
  <si>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</si>
  <si>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</si>
  <si>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</si>
  <si>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</si>
  <si>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</si>
  <si>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</si>
  <si>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</si>
  <si>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</si>
  <si>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</si>
  <si>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</si>
  <si>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</si>
  <si>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</si>
  <si>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</si>
  <si>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</si>
  <si>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</si>
  <si>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</si>
  <si>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</si>
  <si>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</si>
  <si>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</si>
  <si>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</si>
  <si>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</si>
  <si>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</si>
  <si>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</si>
  <si>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</si>
  <si>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</si>
  <si>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</si>
  <si>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</si>
  <si>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</si>
  <si>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</si>
  <si>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</si>
  <si>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</si>
  <si>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</si>
  <si>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</si>
  <si>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</si>
  <si>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</si>
  <si>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</si>
  <si>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</si>
  <si>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</si>
  <si>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</si>
  <si>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</si>
  <si>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</si>
  <si>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</si>
  <si>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</si>
  <si>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</si>
  <si>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</si>
  <si>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</si>
  <si>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</si>
  <si>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</si>
  <si>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</si>
  <si>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</si>
  <si>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</si>
  <si>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</si>
  <si>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</si>
  <si>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</si>
  <si>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</si>
  <si>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</si>
  <si>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</si>
  <si>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</si>
  <si>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</si>
  <si>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</si>
  <si>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</si>
  <si>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</si>
  <si>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</si>
  <si>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</si>
  <si>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</si>
  <si>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</si>
  <si>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</si>
  <si>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</si>
  <si>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</si>
  <si>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</si>
  <si>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</si>
  <si>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</si>
  <si>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</si>
  <si>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</si>
  <si>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</si>
  <si>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</si>
  <si>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</si>
  <si>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</si>
  <si>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</si>
  <si>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</si>
  <si>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</si>
  <si>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</si>
  <si>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</si>
  <si>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</si>
  <si>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</si>
  <si>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</si>
  <si>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</si>
  <si>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</si>
  <si>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</si>
  <si>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</si>
  <si>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</si>
  <si>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</si>
  <si>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</si>
  <si>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</si>
  <si>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</si>
  <si>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</si>
  <si>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</si>
  <si>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</si>
  <si>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</si>
  <si>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</si>
  <si>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</si>
  <si>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</si>
  <si>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</si>
  <si>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</si>
  <si>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</si>
  <si>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</si>
  <si>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</si>
  <si>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</si>
  <si>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</si>
  <si>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</si>
  <si>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</si>
  <si>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</si>
  <si>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</si>
  <si>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</si>
  <si>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</si>
  <si>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</si>
  <si>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</si>
  <si>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</si>
  <si>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</si>
  <si>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</si>
  <si>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</si>
  <si>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</si>
  <si>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</si>
  <si>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</si>
  <si>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</si>
  <si>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</si>
  <si>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</si>
  <si>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</si>
  <si>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</si>
  <si>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</si>
  <si>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</si>
  <si>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</si>
  <si>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</si>
  <si>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</si>
  <si>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</si>
  <si>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</si>
  <si>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</si>
  <si>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</si>
  <si>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</si>
  <si>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</si>
  <si>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</si>
  <si>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</si>
  <si>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</si>
  <si>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</si>
  <si>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</si>
  <si>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</si>
  <si>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</si>
  <si>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</si>
  <si>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</si>
  <si>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</si>
  <si>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</si>
  <si>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</si>
  <si>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</si>
  <si>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</si>
  <si>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</si>
  <si>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</si>
  <si>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</si>
  <si>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</si>
  <si>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</si>
  <si>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</si>
  <si>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</si>
  <si>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</si>
  <si>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</si>
  <si>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</si>
  <si>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</si>
  <si>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</si>
  <si>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</si>
  <si>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</si>
  <si>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</si>
  <si>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</si>
  <si>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</si>
  <si>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</si>
  <si>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</si>
  <si>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</si>
  <si>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</si>
  <si>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</si>
  <si>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</si>
  <si>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</si>
  <si>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</si>
  <si>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</si>
  <si>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</si>
  <si>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</si>
  <si>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</si>
  <si>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</si>
  <si>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</si>
  <si>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</si>
  <si>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</si>
  <si>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</si>
  <si>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</si>
  <si>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</si>
  <si>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</si>
  <si>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</si>
  <si>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</si>
  <si>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</si>
  <si>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</si>
  <si>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</si>
  <si>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</si>
  <si>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</si>
  <si>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</si>
  <si>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</si>
  <si>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</si>
  <si>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</si>
  <si>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</si>
  <si>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</si>
  <si>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</si>
  <si>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</si>
  <si>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</si>
  <si>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</si>
  <si>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</si>
  <si>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</si>
  <si>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</si>
  <si>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</si>
  <si>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</si>
  <si>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</si>
  <si>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</si>
  <si>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</si>
  <si>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</si>
  <si>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</si>
  <si>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</si>
  <si>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</si>
  <si>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</si>
  <si>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</si>
  <si>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</si>
  <si>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</si>
  <si>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</si>
  <si>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</si>
  <si>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</si>
  <si>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</si>
  <si>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</si>
  <si>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</si>
  <si>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</si>
  <si>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</si>
  <si>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</si>
  <si>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</si>
  <si>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</si>
  <si>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</si>
  <si>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</si>
  <si>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</si>
  <si>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</si>
  <si>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</si>
  <si>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</si>
  <si>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</si>
  <si>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</si>
  <si>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</si>
  <si>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</si>
  <si>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</si>
  <si>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</si>
  <si>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</si>
  <si>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</si>
  <si>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</si>
  <si>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</si>
  <si>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</si>
  <si>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</si>
  <si>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</si>
  <si>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</si>
  <si>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</si>
  <si>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</si>
  <si>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</si>
  <si>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</si>
  <si>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</si>
  <si>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</si>
  <si>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</si>
  <si>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</si>
  <si>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</si>
  <si>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</si>
  <si>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</si>
  <si>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</si>
  <si>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</si>
  <si>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</si>
  <si>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</si>
  <si>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</si>
  <si>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</si>
  <si>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</si>
  <si>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</si>
  <si>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</si>
  <si>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</si>
  <si>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</si>
  <si>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</si>
  <si>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</si>
  <si>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</si>
  <si>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</si>
  <si>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</si>
  <si>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</si>
  <si>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</si>
  <si>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</si>
  <si>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</si>
  <si>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</si>
  <si>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</si>
  <si>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</si>
  <si>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</si>
  <si>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</si>
  <si>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</si>
  <si>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</si>
  <si>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</si>
  <si>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</si>
  <si>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</si>
  <si>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</si>
  <si>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</si>
  <si>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</si>
  <si>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</si>
  <si>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</si>
  <si>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</si>
  <si>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</si>
  <si>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</si>
  <si>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</si>
  <si>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</si>
  <si>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</si>
  <si>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</si>
  <si>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</si>
  <si>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</si>
  <si>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</si>
  <si>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</si>
  <si>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</si>
  <si>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</si>
  <si>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</si>
  <si>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</si>
  <si>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</si>
  <si>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</si>
  <si>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</si>
  <si>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</si>
  <si>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</si>
  <si>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</si>
  <si>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</si>
  <si>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</si>
  <si>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</si>
  <si>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</si>
  <si>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</si>
  <si>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</si>
  <si>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</si>
  <si>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</si>
  <si>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</si>
  <si>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</si>
  <si>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</si>
  <si>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</si>
  <si>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</si>
  <si>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</si>
  <si>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</si>
  <si>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</si>
  <si>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</si>
  <si>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</si>
  <si>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</si>
  <si>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</si>
  <si>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</si>
  <si>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</si>
  <si>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</si>
  <si>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</si>
  <si>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</si>
  <si>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</si>
  <si>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</si>
  <si>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</si>
  <si>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</si>
  <si>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</si>
  <si>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</si>
  <si>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</si>
  <si>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</si>
  <si>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</si>
  <si>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</si>
  <si>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</si>
  <si>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</si>
  <si>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</si>
  <si>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</si>
  <si>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</si>
  <si>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</si>
  <si>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</si>
  <si>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</si>
  <si>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</si>
  <si>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</si>
  <si>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</si>
  <si>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</si>
  <si>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</si>
  <si>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</si>
  <si>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</si>
  <si>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</si>
  <si>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</si>
  <si>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</si>
  <si>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</si>
  <si>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</si>
  <si>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</si>
  <si>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</si>
  <si>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</si>
  <si>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</si>
  <si>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</si>
  <si>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</si>
  <si>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</si>
  <si>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</si>
  <si>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</si>
  <si>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</si>
  <si>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</si>
  <si>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</si>
  <si>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</si>
  <si>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</si>
  <si>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</si>
  <si>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</si>
  <si>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</si>
  <si>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</si>
  <si>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</si>
  <si>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</si>
  <si>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</si>
  <si>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</si>
  <si>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</si>
  <si>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</si>
  <si>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</si>
  <si>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</si>
  <si>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</si>
  <si>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</si>
  <si>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</si>
  <si>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</si>
  <si>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</si>
  <si>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</si>
  <si>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</si>
  <si>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</si>
  <si>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</si>
  <si>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</si>
  <si>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</si>
  <si>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</si>
  <si>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</si>
  <si>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</si>
  <si>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</si>
  <si>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</si>
  <si>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</si>
  <si>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</si>
  <si>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</si>
  <si>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</si>
  <si>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</si>
  <si>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</si>
  <si>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</si>
  <si>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</si>
  <si>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</si>
  <si>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</si>
  <si>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</si>
  <si>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</si>
  <si>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</si>
  <si>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</si>
  <si>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</si>
  <si>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</si>
  <si>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</si>
  <si>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</si>
  <si>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</si>
  <si>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</si>
  <si>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</si>
  <si>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</si>
  <si>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</si>
  <si>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</si>
  <si>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</si>
  <si>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</si>
  <si>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</si>
  <si>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</si>
  <si>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</si>
  <si>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</si>
  <si>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</si>
  <si>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</si>
  <si>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</si>
  <si>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</si>
  <si>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</si>
  <si>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</si>
  <si>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</si>
  <si>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</si>
  <si>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</si>
  <si>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</si>
  <si>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</si>
  <si>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</si>
  <si>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</si>
  <si>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</si>
  <si>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</si>
  <si>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</si>
  <si>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</si>
  <si>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</si>
  <si>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</si>
  <si>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</si>
  <si>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</si>
  <si>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</si>
  <si>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</si>
  <si>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</si>
  <si>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</si>
  <si>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</si>
  <si>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</si>
  <si>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</si>
  <si>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</si>
  <si>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</si>
  <si>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</si>
  <si>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</si>
  <si>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</si>
  <si>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</si>
  <si>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</si>
  <si>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</si>
  <si>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https://portal.eias.ru/Portal/DownloadPage.aspx?type=12&amp;guid=2b4abf52-2ffb-442a-b8fc-1e22ae662138</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</si>
  <si>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</si>
  <si>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</si>
  <si>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</si>
  <si>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</si>
  <si>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</si>
  <si>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</si>
  <si>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</si>
  <si>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</si>
  <si>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</si>
  <si>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</si>
  <si>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</si>
  <si>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</si>
  <si>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</si>
  <si>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</si>
  <si>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</si>
  <si>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</si>
  <si>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</si>
  <si>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</si>
  <si>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</si>
  <si>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</si>
  <si>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</si>
  <si>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</si>
  <si>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</si>
  <si>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</si>
  <si>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</si>
  <si>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</si>
  <si>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</si>
  <si>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</si>
  <si>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</si>
  <si>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</si>
  <si>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</si>
  <si>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</si>
  <si>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</si>
  <si>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</si>
  <si>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</si>
  <si>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</si>
  <si>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</si>
  <si>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</si>
  <si>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</si>
  <si>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</si>
  <si>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</si>
  <si>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</si>
  <si>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</si>
  <si>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</si>
  <si>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</si>
  <si>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</si>
  <si>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</si>
  <si>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</si>
  <si>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</si>
  <si>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</si>
  <si>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</si>
  <si>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</si>
  <si>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</si>
  <si>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</si>
  <si>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</si>
  <si>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</si>
  <si>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</si>
  <si>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https://portal.eias.ru/Portal/DownloadPage.aspx?type=12&amp;guid=f4aef5ee-1385-45ad-b739-83f59f6ed260</t>
  </si>
  <si>
    <t>https://portal.eias.ru/Portal/DownloadPage.aspx?type=12&amp;guid=8a966cb6-609f-4496-84de-c129fcc70d6a</t>
  </si>
  <si>
    <t>https://portal.eias.ru/Portal/DownloadPage.aspx?type=12&amp;guid=1515650e-4298-4555-b292-b4044dd67a59</t>
  </si>
  <si>
    <t>https://portal.eias.ru/Portal/DownloadPage.aspx?type=12&amp;guid=35e9eef2-d35e-4468-a5de-f32c3951ebf7</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</si>
  <si>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</si>
  <si>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</si>
  <si>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</si>
  <si>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</si>
  <si>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</si>
  <si>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</si>
  <si>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https://www.dvgk.ru/</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</si>
  <si>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</si>
  <si>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</si>
  <si>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</si>
  <si>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</si>
  <si>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</si>
  <si>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</si>
  <si>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</si>
  <si>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</si>
  <si>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</si>
  <si>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</si>
  <si>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</si>
  <si>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</si>
  <si>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</si>
  <si>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</si>
  <si>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</si>
  <si>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</si>
  <si>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</si>
  <si>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</si>
  <si>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</si>
  <si>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</si>
  <si>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</si>
  <si>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</si>
  <si>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</si>
  <si>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</si>
  <si>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</si>
  <si>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</si>
  <si>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</si>
  <si>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</si>
  <si>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</si>
  <si>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</si>
  <si>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</si>
  <si>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</si>
  <si>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</si>
  <si>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</si>
  <si>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</si>
  <si>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</si>
  <si>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</si>
  <si>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</si>
  <si>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</si>
  <si>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</si>
  <si>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</si>
  <si>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</si>
  <si>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</si>
  <si>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</si>
  <si>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</si>
  <si>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</si>
  <si>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</si>
  <si>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</si>
  <si>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</si>
  <si>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</si>
  <si>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</si>
  <si>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</si>
  <si>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</si>
  <si>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</si>
  <si>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</si>
  <si>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</si>
  <si>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</si>
  <si>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</si>
  <si>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</si>
  <si>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</si>
  <si>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</si>
  <si>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</si>
  <si>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</si>
  <si>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</si>
  <si>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</si>
  <si>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</si>
  <si>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</si>
  <si>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</si>
  <si>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</si>
  <si>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</si>
  <si>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</si>
  <si>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</si>
  <si>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</si>
  <si>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</si>
  <si>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</si>
  <si>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</si>
  <si>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</si>
  <si>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</si>
  <si>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</si>
  <si>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</si>
  <si>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</si>
  <si>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</si>
  <si>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</si>
  <si>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</si>
  <si>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</si>
  <si>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</si>
  <si>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</si>
  <si>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</si>
  <si>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</si>
  <si>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</si>
  <si>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</si>
  <si>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</si>
  <si>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</si>
  <si>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</si>
  <si>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</si>
  <si>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</si>
  <si>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</si>
  <si>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</si>
  <si>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</si>
  <si>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</si>
  <si>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</si>
  <si>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</si>
  <si>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</si>
  <si>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</si>
  <si>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</si>
  <si>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</si>
  <si>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</si>
  <si>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</si>
  <si>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</si>
  <si>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</si>
  <si>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</si>
  <si>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</si>
  <si>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</si>
  <si>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</si>
  <si>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</si>
  <si>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</si>
  <si>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</si>
  <si>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</si>
  <si>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</si>
  <si>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</si>
  <si>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</si>
  <si>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</si>
  <si>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</si>
  <si>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</si>
  <si>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</si>
  <si>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</si>
  <si>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</si>
  <si>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</si>
  <si>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</si>
  <si>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</si>
  <si>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</si>
  <si>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</si>
  <si>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</si>
  <si>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</si>
  <si>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</si>
  <si>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</si>
  <si>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</si>
  <si>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</si>
  <si>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</si>
  <si>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</si>
  <si>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</si>
  <si>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</si>
  <si>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</si>
  <si>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</si>
  <si>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</si>
  <si>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</si>
  <si>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</si>
  <si>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</si>
  <si>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</si>
  <si>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</si>
  <si>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</si>
  <si>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</si>
  <si>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</si>
  <si>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</si>
  <si>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</si>
  <si>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</si>
  <si>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</si>
  <si>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</si>
  <si>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</si>
  <si>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</si>
  <si>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</si>
  <si>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</si>
  <si>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</si>
  <si>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</si>
  <si>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</si>
  <si>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</si>
  <si>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</si>
  <si>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</si>
  <si>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</si>
  <si>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</si>
  <si>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</si>
  <si>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</si>
  <si>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</si>
  <si>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</si>
  <si>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</si>
  <si>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</si>
  <si>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</si>
  <si>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</si>
  <si>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</si>
  <si>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</si>
  <si>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</si>
  <si>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</si>
  <si>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</si>
  <si>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</si>
  <si>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</si>
  <si>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</si>
  <si>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</si>
  <si>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</si>
  <si>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</si>
  <si>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</si>
  <si>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</si>
  <si>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</si>
  <si>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</si>
  <si>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</si>
  <si>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</si>
  <si>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</si>
  <si>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</si>
  <si>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</si>
  <si>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</si>
  <si>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</si>
  <si>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</si>
  <si>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</si>
  <si>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</si>
  <si>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</si>
  <si>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</si>
  <si>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</si>
  <si>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</si>
  <si>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</si>
  <si>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</si>
  <si>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</si>
  <si>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</si>
  <si>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</si>
  <si>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</si>
  <si>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</si>
  <si>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</si>
  <si>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</si>
  <si>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</si>
  <si>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</si>
  <si>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</si>
  <si>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</si>
  <si>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</si>
  <si>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</si>
  <si>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</si>
  <si>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</si>
  <si>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</si>
  <si>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</si>
  <si>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</si>
  <si>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</si>
  <si>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</si>
  <si>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</si>
  <si>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</si>
  <si>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</si>
  <si>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</si>
  <si>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</si>
  <si>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</si>
  <si>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</si>
  <si>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</si>
  <si>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</si>
  <si>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</si>
  <si>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</si>
  <si>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</si>
  <si>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</si>
  <si>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</si>
  <si>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</si>
  <si>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</si>
  <si>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</si>
  <si>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</si>
  <si>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</si>
  <si>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</si>
  <si>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</si>
  <si>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</si>
  <si>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</si>
  <si>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</si>
  <si>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</si>
  <si>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</si>
  <si>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</si>
  <si>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</si>
  <si>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</si>
  <si>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</si>
  <si>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</si>
  <si>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</si>
  <si>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</si>
  <si>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</si>
  <si>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</si>
  <si>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</si>
  <si>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</si>
  <si>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</si>
  <si>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</si>
  <si>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</si>
  <si>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</si>
  <si>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</si>
  <si>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</si>
  <si>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</si>
  <si>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</si>
  <si>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</si>
  <si>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</si>
  <si>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</si>
  <si>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</si>
  <si>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</si>
  <si>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</si>
  <si>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</si>
  <si>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</si>
  <si>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</si>
  <si>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</si>
  <si>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</si>
  <si>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</si>
  <si>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</si>
  <si>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</si>
  <si>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</si>
  <si>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</si>
  <si>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</si>
  <si>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</si>
  <si>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</si>
  <si>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</si>
  <si>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</si>
  <si>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</si>
  <si>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</si>
  <si>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</si>
  <si>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</si>
  <si>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</si>
  <si>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</si>
  <si>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</si>
  <si>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</si>
  <si>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</si>
  <si>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</si>
  <si>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</si>
  <si>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</si>
  <si>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</si>
  <si>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</si>
  <si>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</si>
  <si>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</si>
  <si>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Министерство энергетики Российской Федерации
</t>
  </si>
  <si>
    <t xml:space="preserve">Правительство Амурской области
</t>
  </si>
  <si>
    <t>23.12.2024</t>
  </si>
  <si>
    <t>31.01.2029</t>
  </si>
  <si>
    <t xml:space="preserve">Об утверждении изменений, вносимых в инвестиционную программу АО «ДГК» на 2020 – 2024 годы, утвержденную приказом Минэнерго России от 12.12.2019 № 23@, с изменениями, внесенными приказом Минэнерго России от 16.12.2021 № 19@, с продлением периода реализации инвестиционной программы до 2027 года
</t>
  </si>
  <si>
    <t xml:space="preserve">приказ
</t>
  </si>
  <si>
    <t xml:space="preserve">38@
</t>
  </si>
  <si>
    <t xml:space="preserve">Об утверждении инвестиционной программы АО "ДГК" на 2024-2029 годы, и изменений, вносимых в инвестиционную программу АО "ДГК", утвержденную приказом Минэнерго России от 28.12.2023 №38@
</t>
  </si>
  <si>
    <t xml:space="preserve">39@
</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</si>
  <si>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</si>
  <si>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</si>
  <si>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</si>
  <si>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</si>
  <si>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</si>
  <si>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</si>
  <si>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</si>
  <si>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</si>
  <si>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</si>
  <si>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</si>
  <si>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</si>
  <si>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</si>
  <si>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</si>
  <si>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</si>
  <si>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</si>
  <si>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</si>
  <si>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</si>
  <si>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</si>
  <si>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</si>
  <si>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</si>
  <si>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</si>
  <si>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</si>
  <si>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</si>
  <si>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</si>
  <si>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</si>
  <si>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</si>
  <si>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</si>
  <si>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</si>
  <si>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</si>
  <si>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</si>
  <si>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</si>
  <si>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</si>
  <si>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</si>
  <si>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</si>
  <si>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</si>
  <si>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 xml:space="preserve">Реконструкция т/м №1 Центрального района, от узла «А» до УТ-4Ц с заменой трубопроводов с Ду800мм на Ду 1000мм протяженностью 1994 м в двухтрубном исполнении, СП АТС K_505-АГ-135тп
</t>
  </si>
  <si>
    <t>Октябрь</t>
  </si>
  <si>
    <t>2027</t>
  </si>
  <si>
    <t>Срок выполнения не наступил</t>
  </si>
  <si>
    <t>сп БТЭЦ</t>
  </si>
  <si>
    <t>ТИ с сетями</t>
  </si>
  <si>
    <t>г Благовещенск</t>
  </si>
  <si>
    <t>10701000001</t>
  </si>
  <si>
    <t>Загородная</t>
  </si>
  <si>
    <t>177</t>
  </si>
  <si>
    <t xml:space="preserve">  Прочие собственные средства</t>
  </si>
  <si>
    <t>Добавить источник финансирования</t>
  </si>
  <si>
    <t>Добавить объект инфраструктуры</t>
  </si>
  <si>
    <t xml:space="preserve">Реконструкция т/м №2 Северного планировочного района от узла "А" до ТП-2С с увеличением диаметра с Ду800мм на Ду1000мм протяженностью 1426 м в двухтрубном исполнении, СП АТС N_505-АГ-109ис
</t>
  </si>
  <si>
    <t>2028</t>
  </si>
  <si>
    <t xml:space="preserve">Техническое перевооружение тепловых сетей г. Благовещенск, с заменой трубопровода Ду 530 мм, 820 мм, общей протяженностью 398 м. в двухтрубном исчислении, СП АТС (под программу ПСПТЭ) N_505-АТС-1
</t>
  </si>
  <si>
    <t>2024</t>
  </si>
  <si>
    <t>Ноябрь</t>
  </si>
  <si>
    <t>2023</t>
  </si>
  <si>
    <t xml:space="preserve">      Амортизационные отчисления с выделением результатов переоценки основных средств и нематериальных активов</t>
  </si>
  <si>
    <t xml:space="preserve">Реконструкция тепловых сетей от ТК-19СЗ до ПНСС по ул. Островского,152 г. Благовещенск с увеличением диаметра с Ду 200 мм до Ду 300 мм протяженностью 664 м в двухтрубном исполнении, реконструкция ПНСС "Островского,152", СП АТС N_505-АТС-15ис
</t>
  </si>
  <si>
    <t>2026</t>
  </si>
  <si>
    <t xml:space="preserve">  Кредиты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</si>
  <si>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</si>
  <si>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Модернизация структурированной кабельной системы СП АТC, 1 шт. O_505-АТС-56
</t>
  </si>
  <si>
    <t>Декабрь</t>
  </si>
  <si>
    <t>2025</t>
  </si>
  <si>
    <t>реконструкция или модернизация существующих объектов теплоснабжения, за исключением тепловых сетей</t>
  </si>
  <si>
    <t xml:space="preserve">Техническое перевооружение кровли ремонтно-эксплуатационной базы РТС г. Благовещенска, площадью 2202 кв.м., с заменой типа кровли, СП АТС O_505-АТС-59
</t>
  </si>
  <si>
    <t xml:space="preserve">Техничекое перевооружение котельной Агромех пгт. Новорайчихинск мощ. 18,7 Гкал/ч, СП АТС N_505-АТС-2ис
</t>
  </si>
  <si>
    <t>Июнь</t>
  </si>
  <si>
    <t>котельная "Агромех"</t>
  </si>
  <si>
    <t>рп (пгт) Новорайчихинск</t>
  </si>
  <si>
    <t>10775000056</t>
  </si>
  <si>
    <t>Шоссейная</t>
  </si>
  <si>
    <t xml:space="preserve">Техническое перевооружение системы контроля параметров работы системы централизованного теплоснабжения (технический учет) в пгт Прогресс, СП АТС N_505-АТС-3
</t>
  </si>
  <si>
    <t xml:space="preserve">Техническое перевооружение системы контроля параметров работы системы централизованного теплоснабжения (технический учет) в г. Благовещенске, СП АТС (под программу ПСПТЭ) N_505-АТС-4
</t>
  </si>
  <si>
    <t xml:space="preserve">Установка узла коммерческого учета тепловой энергии на границе раздела внутренних тепловых сетей Благовещенской ТЭЦ и магистральных тепловых сетей (узел "Б"), СП АТС N_505-БлТЭЦ2-17
</t>
  </si>
  <si>
    <t xml:space="preserve">Реконструкция участка т/м №2 Северо-западного района на участке от НО-10 до НО-12 с увеличением диаметра с Ду 600мм на Ду 700мм  протяженностью 270 м в двухтрубном исполнении, СП АТС N_505-АТС-7тп
</t>
  </si>
  <si>
    <t xml:space="preserve">  За счет платы за технологическое присоединение</t>
  </si>
  <si>
    <t xml:space="preserve">Покупка оборудования, не входящее в сметы строек, СП АТС
</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</si>
  <si>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</si>
  <si>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газовой котельной мощ. 12 Гкал/ч с Чигири Благовещенского муниципального округа, Амурская область, СП АТС O_505-АТС-57ис
</t>
  </si>
  <si>
    <t xml:space="preserve">Строительство служебно-бытового здания района тепловых сетей, СП АТС O_505-АТС-58
</t>
  </si>
  <si>
    <t>HEAT_IP_EVENT_SUBGROUP_1_LIST</t>
  </si>
  <si>
    <t>15</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</si>
  <si>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</si>
  <si>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иных объектов теплоснабжения за исключением тепловых сетей в целях подключения потребителей</t>
  </si>
  <si>
    <t xml:space="preserve"> Строительство тепловой сети от СЦТ котельной "Агромех" до СЦТ котельной п. Кирзавод протяженностью 2,7 км, СП АТС N_505-АТС-8ис
</t>
  </si>
  <si>
    <t>16</t>
  </si>
  <si>
    <t>строительство новых тепловых сетей в целях подключения потребителей</t>
  </si>
  <si>
    <t xml:space="preserve">Строительство сети для технологического присоединения к системе теплоснабжения объекта Многоквартирный жилой дом  в квартале 156 г. Благовещенска  N_505-Бл.ТЭЦ-1-3тп
</t>
  </si>
  <si>
    <t>Сентябрь</t>
  </si>
  <si>
    <t>17</t>
  </si>
  <si>
    <t xml:space="preserve">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в квартале 139 г. Благовещенска,СП АТС N_505-АТС-9тп
</t>
  </si>
  <si>
    <t>18</t>
  </si>
  <si>
    <t xml:space="preserve">Строительство сети для технологического присоединения к системе теплоснабжения объекта Многоквартирный жилой дом (1 этап) по ул. Октябрьская - ул. Театральная - пер. Технический - ул. Политехническая, СП АТС N_505-АТС-10тп
</t>
  </si>
  <si>
    <t>Не выполнено в соответствии с планом</t>
  </si>
  <si>
    <t>19</t>
  </si>
  <si>
    <t xml:space="preserve">Строительство сети для технологического присоединения к системе теплоснабжения объекта Многоквартирный жилой дом в квартале 298 города Благовещенска, СП АТС N_505-АТС-11тп
</t>
  </si>
  <si>
    <t>20</t>
  </si>
  <si>
    <t xml:space="preserve">Строительство сети для технологического присоединения к системе теплоснабжения объекта Многоквартирный жилой дом, Литер 3 в квартале 207 г. Благовещенска, СП АТС N_505-Бл.ТЭЦ-1-6тп
</t>
  </si>
  <si>
    <t>21</t>
  </si>
  <si>
    <t xml:space="preserve">Строительство сети для технологического присоединения к системе теплоснабжения объектов Многоквартирные жилые дома Литер 10, Литер 11 и подземная автостоянка Литер 12 г. Благовещенска, СП АТС  N_505-Бл.ТЭЦ-1-8тп
</t>
  </si>
  <si>
    <t>22</t>
  </si>
  <si>
    <t xml:space="preserve">Строительство сети для технологического присоединения к системе теплоснабжения объекта «Многоквартирный жилой дом в квартале 189 г. Благовещенска, СП АТС N_505-АТС-17тп
</t>
  </si>
  <si>
    <t>23</t>
  </si>
  <si>
    <t xml:space="preserve">Строительство сети для технологического присоединения к системе теплоснабжения объекта: «Многофункциональное здание и подземная автомобильная стоянка Литер 1, Литер 2 в квартале 418 г. Благовещенска, СП АТС N_505-АТС-18тп
</t>
  </si>
  <si>
    <t>24</t>
  </si>
  <si>
    <t xml:space="preserve">Строительство сети для технологического присоединения к системе теплоснабжения объекта:Многоквартирный жилой дом со встроенными помещениями общественного назначенияЛитер 10 в с.Чигири Благовещенского района, СП АТС  N_505-АТС-19тп
</t>
  </si>
  <si>
    <t>25</t>
  </si>
  <si>
    <t xml:space="preserve">Строительство сети для технологического присоединения к системе теплоснабжения объекта:Многоквартирный жилой дом Литер 2 в с.Чигири Благовещенского района, СП АТС  N_505-АТС-20тп
</t>
  </si>
  <si>
    <t>Май</t>
  </si>
  <si>
    <t>26</t>
  </si>
  <si>
    <t xml:space="preserve">Строительство сети для технологического присоединения к системе теплоснабжения объекта:Многофункциональный комплекс зданий со встроенными нежилыми помещениями и подземной автостоянкой» расположенный по адресу: Амурская область, г. Благовещенск квартал 127, СП АТС  N_505-АТС-21тп
</t>
  </si>
  <si>
    <t>27</t>
  </si>
  <si>
    <t xml:space="preserve">Строительство сети для технологического присоединения к системе теплоснабжения объекта: Многоквартирный жилой дом в квартале ЗПУ-5 на земельном участке с к/н 28:01:030004:3682 г. Благовещенска, СП АТС N_505-АТС-22тп
</t>
  </si>
  <si>
    <t>28</t>
  </si>
  <si>
    <t xml:space="preserve">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в квартале 236 по ул. Чайковского, 126, г. Благовещенска, СП АТС N_505-АТС-23тп
</t>
  </si>
  <si>
    <t>29</t>
  </si>
  <si>
    <t xml:space="preserve">Строительство сети для технологического присоединения к системе теплоснабжения объекта: Многоквартирный дом в квартале 170, г. Благовещенска, СП АТС N_505-АТС-24тп
</t>
  </si>
  <si>
    <t>30</t>
  </si>
  <si>
    <t xml:space="preserve">Строительство сети для технологического присоединения к системе теплоснабжения объекта:Школа на 528 мест в с. Чигири Благовещенского района, СП АТС  N_505-АТС-25тп
</t>
  </si>
  <si>
    <t>31</t>
  </si>
  <si>
    <t xml:space="preserve">Строительство сети для технологического присоединения к системе теплоснабжения объекта: Многоквартирный жилой дом со встроеными нежилыми помещениями и подземной автостоянкой по ул. Островского, г. Благовещенска, СП АТС N_505-АТС-26тп
</t>
  </si>
  <si>
    <t>32</t>
  </si>
  <si>
    <t xml:space="preserve">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и пристроенными автостоянками закрытого типа в квартале 352  г. Благовещенска Литер 1.1, Литер 1.2, Литер 1.3, СП АТС N_505-АТС-27тп
</t>
  </si>
  <si>
    <t>33</t>
  </si>
  <si>
    <t xml:space="preserve">Строительство сети для технологического присоединения к системе теплоснабжения объекта: Многоквартирный дом (с эксплуатируемой кровлей) в квартале 604, СП АТС N_505-АТС-28тп
</t>
  </si>
  <si>
    <t>34</t>
  </si>
  <si>
    <t xml:space="preserve">Строительство сети для технологического присоединения к системе теплоснабжения объекта: Многоквартирный жилой дом в микрорайоне "Европейский", с Чигири, Благовещенского района, Амурской области, СП АТС N_505-АТС-29тп
</t>
  </si>
  <si>
    <t>35</t>
  </si>
  <si>
    <t xml:space="preserve">Строительство сети для технологического присоединения к системе теплоснабжения объекта: «Многоквартирный жилой дом, квартал 4 г. Благовещенск, Амурская область, СП АТС N_505-АТС-30тп
</t>
  </si>
  <si>
    <t>Август</t>
  </si>
  <si>
    <t>36</t>
  </si>
  <si>
    <t xml:space="preserve">Строительство сети для технологического присоединения к системе теплоснабжения объекта: «Многоквартирный жилой дом в квартале 121 г. Благовещенска, СП АТС N_505-АТС-33тп
</t>
  </si>
  <si>
    <t>37</t>
  </si>
  <si>
    <t xml:space="preserve">Строительство сети для технологического присоединения к системе теплоснабжения объекта: «Многоквартирный жилой дом в с. Чигири, Благовещенского района Амурской области, СП АТС N_505-АТС-34тп
</t>
  </si>
  <si>
    <t>38</t>
  </si>
  <si>
    <t xml:space="preserve">Строительство сети для технологического присоединения к системе теплоснабжения объекта "Многоквартирный жилой дом в квартале 115 г. Благовещенска, СП АТС N_505-АТС-35тп
</t>
  </si>
  <si>
    <t>39</t>
  </si>
  <si>
    <t xml:space="preserve">Строительство сети для технологического присоединения к системе теплоснабжения объекта «Многоквартирный жилой дом со встроенными помещениями общественного назначения Литер 9 в с. Чигири Благовещенского района, СП АТС N_505-АТС-36тп
</t>
  </si>
  <si>
    <t>40</t>
  </si>
  <si>
    <t xml:space="preserve">Строительство сети для технологического присоединения к системе теплоснабжения объекта  «Производственная база в составе помещений: Здание Литер А1 с пристроенным административным корпусом Литер А, гараж Литер А2, склад-гараж Литер А3, склад металлический  Литер А4, склад  Литер А5, расположенная по адресу: ул. 50 лет Октября, 226, СП АТС N_505-АТС-37тп
</t>
  </si>
  <si>
    <t>41</t>
  </si>
  <si>
    <t xml:space="preserve">Строительство сети для технологического присоединения к системе теплоснабжения объекта «Многоквартирный жилой дом в квартале 4 г. Благовещенска, СП АТС N_505-АТС-38тп
</t>
  </si>
  <si>
    <t>42</t>
  </si>
  <si>
    <t xml:space="preserve">Строительство сети для технологического присоединения к системе теплоснабжения объекта «Многоквартирный жилой дом в квартале 133 г. Благовещенска, СП АТС N_505-АТС-39тп
</t>
  </si>
  <si>
    <t>43</t>
  </si>
  <si>
    <t xml:space="preserve">Строительство сети для технологического присоединения к системе теплоснабжения объекта  "Многоквартирный жилой дом литер 3 в квартале 190 г. Благовещенска, СП АТС N_505-АТС-40тп
</t>
  </si>
  <si>
    <t>44</t>
  </si>
  <si>
    <t xml:space="preserve">Строительство сети для технологического присоединения к системе теплоснабжения объекта «Многоквартирный жилой дом в квартале 97 г. Благовещенска, СП АТС N_505-АТС-41тп
</t>
  </si>
  <si>
    <t>45</t>
  </si>
  <si>
    <t xml:space="preserve">Строительство сети для технологического присоединения к системе теплоснабжения объекта «Многоквартирный дом со встроенными помещениями общественного назначения, трансформаторной подстанцией, квартал ЗПУ-5 г. Благовещенска, СП АТС N_505-АТС-42тп
</t>
  </si>
  <si>
    <t>46</t>
  </si>
  <si>
    <t xml:space="preserve">Строительство сети для технологического присоединения к системе теплоснабжения объекта  "Многоквартирные дома Литер 1 и Литер 2, в квартале 5 г. Благовещенска, СП АТС N_505-АТС-43тп
</t>
  </si>
  <si>
    <t>47</t>
  </si>
  <si>
    <t xml:space="preserve">Строительство тепловой сети для технологического присоединения к системе теплоснабжения объекта: Здание бытового обслуживания на земельном участке с к.н. 28:01:010250:24,СП АТС O_505-АТС-44тп
</t>
  </si>
  <si>
    <t>48</t>
  </si>
  <si>
    <t xml:space="preserve">Строительство тепловой сети для технологического присоединения к системе теплоснабжения объекта: Комплекс объектов управленческой деятельности Литер 1, Литер 2 в ЗПУ-2  г. Благовещенска, СП АТС O_505-АТС-45тп
</t>
  </si>
  <si>
    <t>49</t>
  </si>
  <si>
    <t xml:space="preserve">Строительство тепловой сети для технологического присоединения к системе теплоснабжения объекта: Многофункциональное здание в квартале 162 г.Благовещенск, Амурская область, СП АТС  O_505-АТС-46тп
</t>
  </si>
  <si>
    <t>50</t>
  </si>
  <si>
    <t xml:space="preserve">Строительство тепловой сети для технологического присоединения к системе теплоснабжения объекта: Магазин пром. товаров с встроенной автостоянкой  по ул. Пионерская, 85, СП АТС O_505-АТС-47тп
</t>
  </si>
  <si>
    <t>51</t>
  </si>
  <si>
    <t xml:space="preserve">Строительство тепловой сети для технологического присоединения к системе теплоснабжения объекта: Многоквартирный жилой дом  Литер 3 в квартале 449, СП АТС O_505-АТС-48тп
</t>
  </si>
  <si>
    <t>52</t>
  </si>
  <si>
    <t xml:space="preserve">Строительство тепловой сети для технологического присоединения к системе теплоснабжения объекта:  "Многоквартирный жилой дом в квартале 93 г.Благовещенска (1, 2, 3 этап)", СП АТС O_505-АТС-49тп
</t>
  </si>
  <si>
    <t>53</t>
  </si>
  <si>
    <t xml:space="preserve">Строительство тепловой сети для технологического присоединения к системе теплоснабжения объекта: Многоквартирный жилой дом Литер 1, 2, 3 в квартале 332, СП АТС O_505-АТС-50тп
</t>
  </si>
  <si>
    <t>54</t>
  </si>
  <si>
    <t xml:space="preserve">Строительство тепловой сети для технологического присоединения к системе теплоснабжения объекта: Многоквартирный жилой дом Литер 3 в с. Чигири Благовещенского района, СП АТС O_505-АТС-51тп
</t>
  </si>
  <si>
    <t>55</t>
  </si>
  <si>
    <t xml:space="preserve">Строительство тепловой сети для технологического присоединения к системе теплоснабжения объекта: Многоквартирный жилой дом Литер 11 в с. Чигири Благовещенского района, СП АТС O_505-АТС-52тп
</t>
  </si>
  <si>
    <t>56</t>
  </si>
  <si>
    <t xml:space="preserve">Строительство тепловой сети для технологического присоединения к системе теплоснабжения объекта: Региональный физкультурно-оздоровительный центр Амурской области, СП АТС O_505-АТС-53тп
</t>
  </si>
  <si>
    <t>57</t>
  </si>
  <si>
    <t>Модернизация структурированной кабельной системы СП АТC, 1 шт. O_505-АТС-56</t>
  </si>
  <si>
    <t>58</t>
  </si>
  <si>
    <t>Покупка объектов интеллектуальной собственности (НМА), СП АТС</t>
  </si>
  <si>
    <t>Добавить мероприятие</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</si>
  <si>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</si>
  <si>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</si>
  <si>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</si>
  <si>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</si>
  <si>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</si>
  <si>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</si>
  <si>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</si>
  <si>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</si>
  <si>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</si>
  <si>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</si>
  <si>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</si>
  <si>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</si>
  <si>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</si>
  <si>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</si>
  <si>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</si>
  <si>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</si>
  <si>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</si>
  <si>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</si>
  <si>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</si>
  <si>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</si>
  <si>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</si>
  <si>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</si>
  <si>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</si>
  <si>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</si>
  <si>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</si>
  <si>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</si>
  <si>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</si>
  <si>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</si>
  <si>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</si>
  <si>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</si>
  <si>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</si>
  <si>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</si>
  <si>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</si>
  <si>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</si>
  <si>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</si>
  <si>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</si>
  <si>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</si>
  <si>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</si>
  <si>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</si>
  <si>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</si>
  <si>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</si>
  <si>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</si>
  <si>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</si>
  <si>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</si>
  <si>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</si>
  <si>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</si>
  <si>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</si>
  <si>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</si>
  <si>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</si>
  <si>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</si>
  <si>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</si>
  <si>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</si>
  <si>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</si>
  <si>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</si>
  <si>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</si>
  <si>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</si>
  <si>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</si>
  <si>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</si>
  <si>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</si>
  <si>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</si>
  <si>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</si>
  <si>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</si>
  <si>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</si>
  <si>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</si>
  <si>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</si>
  <si>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</si>
  <si>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</si>
  <si>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</si>
  <si>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</si>
  <si>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</si>
  <si>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</si>
  <si>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</si>
  <si>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</si>
  <si>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</si>
  <si>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</si>
  <si>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</si>
  <si>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</si>
  <si>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</si>
  <si>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</si>
  <si>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</si>
  <si>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</si>
  <si>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</si>
  <si>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</si>
  <si>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</si>
  <si>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</si>
  <si>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</si>
  <si>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</si>
  <si>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</si>
  <si>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</si>
  <si>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</si>
  <si>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</si>
  <si>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</si>
  <si>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</si>
  <si>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</si>
  <si>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</si>
  <si>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</si>
  <si>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</si>
  <si>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</si>
  <si>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</si>
  <si>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</si>
  <si>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</si>
  <si>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Бизнес-план АО "ДГК" на 2024-2028 г.г.</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</si>
  <si>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</si>
  <si>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</si>
  <si>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</si>
  <si>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</si>
  <si>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</si>
  <si>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</si>
  <si>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</si>
  <si>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</si>
  <si>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</si>
  <si>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</si>
  <si>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</si>
  <si>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</si>
  <si>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</si>
  <si>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</si>
  <si>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</si>
  <si>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</si>
  <si>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</si>
  <si>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</si>
  <si>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</si>
  <si>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</si>
  <si>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</si>
  <si>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</si>
  <si>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</si>
  <si>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</si>
  <si>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</si>
  <si>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</si>
  <si>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</si>
  <si>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</si>
  <si>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</si>
  <si>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</si>
  <si>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</si>
  <si>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</si>
  <si>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</si>
  <si>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</si>
  <si>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</si>
  <si>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</si>
  <si>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</si>
  <si>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</si>
  <si>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</si>
  <si>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</si>
  <si>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</si>
  <si>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</si>
  <si>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</si>
  <si>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</si>
  <si>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</si>
  <si>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</si>
  <si>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</si>
  <si>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</si>
  <si>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</si>
  <si>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</si>
  <si>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</si>
  <si>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</si>
  <si>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</si>
  <si>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</si>
  <si>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</si>
  <si>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</si>
  <si>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</si>
  <si>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</si>
  <si>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</si>
  <si>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</si>
  <si>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</si>
  <si>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</si>
  <si>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</si>
  <si>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</si>
  <si>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</si>
  <si>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</si>
  <si>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</si>
  <si>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</si>
  <si>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</si>
  <si>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</si>
  <si>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</si>
  <si>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</si>
  <si>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</si>
  <si>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</si>
  <si>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</si>
  <si>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</si>
  <si>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</si>
  <si>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</si>
  <si>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</si>
  <si>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</si>
  <si>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</si>
  <si>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</si>
  <si>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</si>
  <si>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</si>
  <si>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</si>
  <si>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</si>
  <si>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</si>
  <si>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</si>
  <si>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</si>
  <si>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</si>
  <si>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</si>
  <si>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</si>
  <si>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</si>
  <si>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</si>
  <si>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</si>
  <si>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</si>
  <si>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</si>
  <si>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</si>
  <si>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</si>
  <si>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</si>
  <si>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</si>
  <si>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</si>
  <si>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</si>
  <si>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</si>
  <si>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</si>
  <si>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</si>
  <si>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</si>
  <si>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</si>
  <si>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</si>
  <si>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</si>
  <si>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</si>
  <si>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</si>
  <si>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</si>
  <si>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</si>
  <si>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</si>
  <si>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</si>
  <si>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</si>
  <si>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</si>
  <si>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</si>
  <si>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</si>
  <si>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</si>
  <si>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</si>
  <si>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</si>
  <si>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</si>
  <si>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</si>
  <si>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</si>
  <si>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</si>
  <si>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</si>
  <si>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</si>
  <si>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</si>
  <si>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</si>
  <si>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</si>
  <si>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</si>
  <si>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</si>
  <si>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</si>
  <si>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</si>
  <si>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</si>
  <si>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</si>
  <si>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</si>
  <si>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</si>
  <si>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</si>
  <si>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</si>
  <si>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</si>
  <si>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</si>
  <si>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</si>
  <si>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</si>
  <si>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</si>
  <si>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</si>
  <si>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</si>
  <si>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</si>
  <si>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</si>
  <si>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</si>
  <si>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</si>
  <si>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</si>
  <si>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</si>
  <si>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</si>
  <si>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</si>
  <si>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</si>
  <si>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</si>
  <si>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</si>
  <si>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</si>
  <si>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</si>
  <si>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</si>
  <si>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</si>
  <si>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</si>
  <si>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</si>
  <si>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</si>
  <si>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</si>
  <si>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</si>
  <si>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</si>
  <si>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</si>
  <si>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</si>
  <si>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</si>
  <si>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</si>
  <si>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</si>
  <si>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</si>
  <si>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</si>
  <si>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</si>
  <si>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</si>
  <si>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</si>
  <si>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</si>
  <si>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</si>
  <si>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</si>
  <si>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</si>
  <si>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</si>
  <si>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</si>
  <si>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</si>
  <si>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</si>
  <si>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</si>
  <si>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</si>
  <si>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</si>
  <si>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</si>
  <si>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</si>
  <si>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</si>
  <si>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</si>
  <si>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</si>
  <si>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</si>
  <si>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</si>
  <si>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</si>
  <si>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</si>
  <si>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</si>
  <si>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</si>
  <si>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</si>
  <si>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</si>
  <si>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</si>
  <si>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</si>
  <si>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</si>
  <si>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</si>
  <si>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</si>
  <si>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</si>
  <si>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</si>
  <si>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</si>
  <si>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</si>
  <si>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</si>
  <si>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</si>
  <si>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</si>
  <si>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</si>
  <si>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</si>
  <si>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</si>
  <si>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</si>
  <si>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</si>
  <si>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</si>
  <si>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</si>
  <si>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</si>
  <si>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</si>
  <si>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</si>
  <si>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</si>
  <si>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</si>
  <si>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</si>
  <si>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</si>
  <si>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</si>
  <si>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</si>
  <si>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</si>
  <si>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</si>
  <si>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</si>
  <si>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</si>
  <si>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</si>
  <si>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</si>
  <si>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</si>
  <si>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</si>
  <si>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</si>
  <si>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</si>
  <si>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</si>
  <si>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</si>
  <si>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</si>
  <si>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</si>
  <si>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</si>
  <si>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</si>
  <si>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</si>
  <si>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</si>
  <si>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</si>
  <si>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</si>
  <si>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</si>
  <si>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</si>
  <si>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</si>
  <si>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</si>
  <si>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</si>
  <si>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</si>
  <si>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</si>
  <si>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</si>
  <si>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</si>
  <si>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</si>
  <si>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</si>
  <si>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</si>
  <si>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</si>
  <si>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</si>
  <si>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</si>
  <si>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</si>
  <si>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</si>
  <si>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</si>
  <si>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</si>
  <si>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</si>
  <si>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</si>
  <si>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</si>
  <si>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</si>
  <si>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</si>
  <si>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</si>
  <si>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</si>
  <si>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</si>
  <si>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</si>
  <si>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</si>
  <si>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</si>
  <si>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</si>
  <si>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</si>
  <si>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</si>
  <si>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</si>
  <si>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</si>
  <si>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</si>
  <si>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</si>
  <si>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</si>
  <si>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</si>
  <si>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</si>
  <si>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</si>
  <si>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</si>
  <si>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</si>
  <si>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</si>
  <si>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</si>
  <si>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</si>
  <si>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</si>
  <si>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</si>
  <si>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</si>
  <si>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</si>
  <si>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</si>
  <si>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</si>
  <si>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</si>
  <si>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</si>
  <si>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</si>
  <si>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</si>
  <si>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</si>
  <si>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</si>
  <si>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</si>
  <si>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</si>
  <si>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</si>
  <si>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</si>
  <si>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</si>
  <si>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</si>
  <si>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</si>
  <si>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</si>
  <si>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</si>
  <si>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</si>
  <si>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</si>
  <si>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</si>
  <si>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</si>
  <si>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</si>
  <si>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</si>
  <si>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</si>
  <si>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</si>
  <si>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</si>
  <si>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</si>
  <si>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</si>
  <si>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</si>
  <si>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</si>
  <si>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</si>
  <si>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</si>
  <si>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</si>
  <si>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</si>
  <si>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</si>
  <si>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</si>
  <si>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</si>
  <si>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</si>
  <si>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</si>
  <si>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</si>
  <si>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</si>
  <si>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</si>
  <si>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</si>
  <si>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</si>
  <si>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</si>
  <si>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</si>
  <si>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</si>
  <si>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</si>
  <si>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</si>
  <si>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</si>
  <si>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</si>
  <si>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</si>
  <si>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</si>
  <si>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</si>
  <si>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</si>
  <si>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</si>
  <si>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</si>
  <si>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</si>
  <si>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</si>
  <si>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</si>
  <si>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</si>
  <si>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</si>
  <si>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</si>
  <si>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</si>
  <si>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</si>
  <si>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</si>
  <si>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</si>
  <si>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</si>
  <si>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</si>
  <si>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</si>
  <si>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</si>
  <si>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</si>
  <si>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</si>
  <si>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</si>
  <si>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</si>
  <si>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</si>
  <si>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</si>
  <si>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</si>
  <si>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</si>
  <si>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</si>
  <si>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</si>
  <si>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</si>
  <si>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</si>
  <si>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</si>
  <si>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</si>
  <si>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</si>
  <si>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</si>
  <si>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</si>
  <si>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</si>
  <si>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</si>
  <si>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</si>
  <si>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</si>
  <si>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</si>
  <si>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</si>
  <si>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</si>
  <si>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</si>
  <si>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</si>
  <si>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</si>
  <si>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</si>
  <si>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</si>
  <si>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</si>
  <si>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</si>
  <si>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</si>
  <si>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</si>
  <si>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</si>
  <si>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</si>
  <si>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</si>
  <si>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</si>
  <si>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</si>
  <si>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</si>
  <si>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</si>
  <si>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</si>
  <si>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</si>
  <si>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</si>
  <si>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</si>
  <si>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</si>
  <si>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</si>
  <si>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</si>
  <si>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</si>
  <si>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</si>
  <si>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</si>
  <si>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</si>
  <si>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</si>
  <si>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</si>
  <si>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</si>
  <si>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</si>
  <si>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</si>
  <si>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</si>
  <si>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</si>
  <si>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</si>
  <si>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</si>
  <si>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</si>
  <si>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</si>
  <si>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</si>
  <si>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</si>
  <si>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</si>
  <si>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</si>
  <si>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</si>
  <si>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</si>
  <si>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</si>
  <si>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</si>
  <si>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</si>
  <si>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</si>
  <si>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</si>
  <si>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</si>
  <si>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</si>
  <si>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</si>
  <si>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</si>
  <si>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</si>
  <si>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</si>
  <si>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</si>
  <si>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</si>
  <si>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</si>
  <si>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</si>
  <si>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</si>
  <si>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</si>
  <si>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</si>
  <si>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</si>
  <si>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</si>
  <si>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</si>
  <si>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</si>
  <si>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</si>
  <si>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</si>
  <si>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</si>
  <si>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</si>
  <si>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</si>
  <si>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</si>
  <si>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</si>
  <si>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</si>
  <si>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</si>
  <si>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</si>
  <si>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</si>
  <si>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</si>
  <si>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</si>
  <si>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</si>
  <si>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</si>
  <si>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</si>
  <si>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</si>
  <si>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</si>
  <si>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</si>
  <si>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</si>
  <si>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</si>
  <si>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</si>
  <si>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</si>
  <si>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</si>
  <si>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</si>
  <si>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</si>
  <si>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</si>
  <si>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</si>
  <si>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</si>
  <si>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</si>
  <si>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</si>
  <si>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</si>
  <si>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</si>
  <si>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</si>
  <si>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</si>
  <si>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</si>
  <si>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</si>
  <si>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</si>
  <si>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</si>
  <si>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</si>
  <si>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</si>
  <si>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</si>
  <si>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</si>
  <si>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</si>
  <si>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</si>
  <si>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</si>
  <si>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</si>
  <si>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</si>
  <si>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</si>
  <si>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</si>
  <si>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</si>
  <si>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</si>
  <si>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</si>
  <si>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</si>
  <si>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</si>
  <si>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</si>
  <si>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</si>
  <si>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Республика Бурятия</t>
  </si>
  <si>
    <t>PT_NETS_LIST</t>
  </si>
  <si>
    <t>Республика Дагестан</t>
  </si>
  <si>
    <t>Республика Ингушетия</t>
  </si>
  <si>
    <t>TERRITORY_ID</t>
  </si>
  <si>
    <t>511</t>
  </si>
  <si>
    <t>начинать только с 2, остальное по умолчанию</t>
  </si>
  <si>
    <t>Республика Калмыкия</t>
  </si>
  <si>
    <t>DIFFERENTIATION_ID</t>
  </si>
  <si>
    <t>51111</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</si>
  <si>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</si>
  <si>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</si>
  <si>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</si>
  <si>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</si>
  <si>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</si>
  <si>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</si>
  <si>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</si>
  <si>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</si>
  <si>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</si>
  <si>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</si>
  <si>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</si>
  <si>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</si>
  <si>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</si>
  <si>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</si>
  <si>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</si>
  <si>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</si>
  <si>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</si>
  <si>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</si>
  <si>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</si>
  <si>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</si>
  <si>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</si>
  <si>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</si>
  <si>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</si>
  <si>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</si>
  <si>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</si>
  <si>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</si>
  <si>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</si>
  <si>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</si>
  <si>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</si>
  <si>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</si>
  <si>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</si>
  <si>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</si>
  <si>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</si>
  <si>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</si>
  <si>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</si>
  <si>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</si>
  <si>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</si>
  <si>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</si>
  <si>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</si>
  <si>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</si>
  <si>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</si>
  <si>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</si>
  <si>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</si>
  <si>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</si>
  <si>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</si>
  <si>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</si>
  <si>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</si>
  <si>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</si>
  <si>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</si>
  <si>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</si>
  <si>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</si>
  <si>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</si>
  <si>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</si>
  <si>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</si>
  <si>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</si>
  <si>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</si>
  <si>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</si>
  <si>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</si>
  <si>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VSNA_IP_EVENT_SUBGROUP_1_LIST</t>
  </si>
  <si>
    <t>VOTV_IP_EVENT_SUBGROUP_1_LIST</t>
  </si>
  <si>
    <t>Тюменская область</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</si>
  <si>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</si>
  <si>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</si>
  <si>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</si>
  <si>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</si>
  <si>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</si>
  <si>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</si>
  <si>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</si>
  <si>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</si>
  <si>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</si>
  <si>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</si>
  <si>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</si>
  <si>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</si>
  <si>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</si>
  <si>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</si>
  <si>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</si>
  <si>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</si>
  <si>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</si>
  <si>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</si>
  <si>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</si>
  <si>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</si>
  <si>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</si>
  <si>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</si>
  <si>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</si>
  <si>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</si>
  <si>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</si>
  <si>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</si>
  <si>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</si>
  <si>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</si>
  <si>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</si>
  <si>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</si>
  <si>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</si>
  <si>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</si>
  <si>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</si>
  <si>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</si>
  <si>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</si>
  <si>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</si>
  <si>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</si>
  <si>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</si>
  <si>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</si>
  <si>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</si>
  <si>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</si>
  <si>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</si>
  <si>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</si>
  <si>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</si>
  <si>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</si>
  <si>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</si>
  <si>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</si>
  <si>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</si>
  <si>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</si>
  <si>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</si>
  <si>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</si>
  <si>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</si>
  <si>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</si>
  <si>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</si>
  <si>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</si>
  <si>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</si>
  <si>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</si>
  <si>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</si>
  <si>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</si>
  <si>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</si>
  <si>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</si>
  <si>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</si>
  <si>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</si>
  <si>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</si>
  <si>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</si>
  <si>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</si>
  <si>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</si>
  <si>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</si>
  <si>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</si>
  <si>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</si>
  <si>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</si>
  <si>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</si>
  <si>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</si>
  <si>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</si>
  <si>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</si>
  <si>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</si>
  <si>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</si>
  <si>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</si>
  <si>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</si>
  <si>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</si>
  <si>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</si>
  <si>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</si>
  <si>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</si>
  <si>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</si>
  <si>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</si>
  <si>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</si>
  <si>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</si>
  <si>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</si>
  <si>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</si>
  <si>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</si>
  <si>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</si>
  <si>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</si>
  <si>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</si>
  <si>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</si>
  <si>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</si>
  <si>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</si>
  <si>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</si>
  <si>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</si>
  <si>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</si>
  <si>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</si>
  <si>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</si>
  <si>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</si>
  <si>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</si>
  <si>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</si>
  <si>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</si>
  <si>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</si>
  <si>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</si>
  <si>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</si>
  <si>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</si>
  <si>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</si>
  <si>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</si>
  <si>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</si>
  <si>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</si>
  <si>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</si>
  <si>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</si>
  <si>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</si>
  <si>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</si>
  <si>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</si>
  <si>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</si>
  <si>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</si>
  <si>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</si>
  <si>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</si>
  <si>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</si>
  <si>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</si>
  <si>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</si>
  <si>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</si>
  <si>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</si>
  <si>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</si>
  <si>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</si>
  <si>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</si>
  <si>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</si>
  <si>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</si>
  <si>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</si>
  <si>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</si>
  <si>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</si>
  <si>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листе "ИП.Детализаия" Источник финансирования "прочие собственные средства" является "инвестиционная составляющая с НДС"  по проектам:
- Реконструкция т/м №1 Центрального района, от узла «А» до УТ-4Ц с заменой трубопроводов с Ду800мм на Ду 1000мм протяженностью 1994 м в двухтрубном исполнении, СП АТС K_505-АГ-135тп
- Реконструкция т/м №2 Северного планировочного района от узла "А" до ТП-2С с увеличением диаметра с Ду800мм на Ду1000мм протяженностью 1426 м в двухтрубном исполнении, СП АТС N_505-АГ-109ис
-  Техничекое перевооружение котельной Агромех пгт. Новорайчихинск мощ. 18,7 Гкал/ч, СП АТС N_505-АТС-2ис
- Строительство газовой котельной мощ. 12 Гкал/ч с Чигири Благовещенского муниципального округа, Амурская область, СП АТС O_505-АТС-57ис
-  Строительство тепловой сети от СЦТ котельной ""Агромех"" до СЦТ котельной п. Кирзавод протяженностью 2,7 км, СП АТС N_505-АТС-8ис</t>
  </si>
  <si>
    <t>Источник финансирования "прочие собственные средства" по проекту "Техническое перевооружение системы контроля параметров работы системы централизованного теплоснабжения (технический учет) в пгт Прогресс, СП АТС N_505-АТС-3"
 - повышающий коэффициент с НДС"</t>
  </si>
  <si>
    <t>Источниками финансирования "прочие собственные средства" являются "средства от реализации активов (металлолома) и повышающий коэффициент с НДС" по проектам:
- Покупка оборудования, не входящее в сметы строек, СП АТС в 2024 году;
- Оборудование, не входящее в смету строек за отчетный период</t>
  </si>
  <si>
    <t>В отчета не включен проект - Выкуп котельной Агромех,тепловых сетей пгт. Новорайчихинск, СП АТС на сумму 650,71149 тыс. рублей
источник финансирования -  средства от реализации активов.</t>
  </si>
  <si>
    <t>Источник финансирования "прочие собственные средства" по проекту "Реконструкция тепловых сетей от ТК-19СЗ до ПНСС по ул. Островского, 152 г. Благовещенск с увеличением диаметра с Ду 200 мм до Ду 300 мм протяженностью 664 м в двухтрубном исполнении, реконструкция ПНСС "Островского, 152", СП АТС N_505-АТС-15ис" - инвестиционная составляющая с НДС</t>
  </si>
  <si>
    <t>Источник финансирования "Прочие собственные средства" по проекту "Покупка объектов интеллектуальной собственности (НМА), СП  АТС"- выручка по себестоимости с НДС</t>
  </si>
  <si>
    <t>По остальным проектам источник финансирования "прочие собственные средства" - НДС.</t>
  </si>
  <si>
    <t>В листе "ИП.КНЭ" показатели "Надежности" отсутствуют, так как не утверждены инвестиционной программой.</t>
  </si>
  <si>
    <t xml:space="preserve">В листе показатели ОТЭП п. 4 в отношении Благовещенская ТЭЦ  (г. Благовещенск) указан общий объем вырабатываемой ЕТО в ценовых зонах теплоснабжения тепловой энергии, включающий Благовещенскую ТЭЦ (с.Чигири)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</si>
  <si>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</si>
  <si>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</si>
  <si>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</si>
  <si>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</si>
  <si>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</si>
  <si>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</si>
  <si>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</si>
  <si>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</si>
  <si>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</si>
  <si>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</si>
  <si>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</si>
  <si>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</si>
  <si>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</si>
  <si>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</si>
  <si>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</si>
  <si>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</si>
  <si>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</si>
  <si>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</si>
  <si>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</si>
  <si>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</si>
  <si>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</si>
  <si>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</si>
  <si>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</si>
  <si>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</si>
  <si>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</si>
  <si>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</si>
  <si>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</si>
  <si>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</si>
  <si>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</si>
  <si>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</si>
  <si>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</si>
  <si>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</si>
  <si>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</si>
  <si>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</si>
  <si>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</si>
  <si>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</si>
  <si>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</si>
  <si>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</si>
  <si>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</si>
  <si>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</si>
  <si>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</si>
  <si>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</si>
  <si>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</si>
  <si>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</si>
  <si>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</si>
  <si>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</si>
  <si>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</si>
  <si>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</si>
  <si>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</si>
  <si>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</si>
  <si>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</si>
  <si>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</si>
  <si>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</si>
  <si>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</si>
  <si>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</si>
  <si>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</si>
  <si>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</si>
  <si>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</si>
  <si>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</si>
  <si>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</si>
  <si>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</si>
  <si>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</si>
  <si>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</si>
  <si>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</si>
  <si>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</si>
  <si>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</si>
  <si>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</si>
  <si>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</si>
  <si>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</si>
  <si>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</si>
  <si>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</si>
  <si>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</si>
  <si>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</si>
  <si>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</si>
  <si>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</si>
  <si>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</si>
  <si>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</si>
  <si>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</si>
  <si>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</si>
  <si>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</si>
  <si>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</si>
  <si>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</si>
  <si>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</si>
  <si>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</si>
  <si>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</si>
  <si>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</si>
  <si>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</si>
  <si>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</si>
  <si>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</si>
  <si>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</si>
  <si>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</si>
  <si>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</si>
  <si>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</si>
  <si>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</si>
  <si>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</si>
  <si>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</si>
  <si>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</si>
  <si>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</si>
  <si>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</si>
  <si>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</si>
  <si>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</si>
  <si>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</si>
  <si>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</si>
  <si>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</si>
  <si>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</si>
  <si>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</si>
  <si>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</si>
  <si>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</si>
  <si>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</si>
  <si>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</si>
  <si>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</si>
  <si>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</si>
  <si>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</si>
  <si>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</si>
  <si>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</si>
  <si>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</si>
  <si>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</si>
  <si>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</si>
  <si>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</si>
  <si>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</si>
  <si>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</si>
  <si>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</si>
  <si>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</si>
  <si>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</si>
  <si>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</si>
  <si>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</si>
  <si>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</si>
  <si>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</si>
  <si>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</si>
  <si>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</si>
  <si>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</si>
  <si>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</si>
  <si>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</si>
  <si>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</si>
  <si>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</si>
  <si>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</si>
  <si>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</si>
  <si>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</si>
  <si>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</si>
  <si>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</si>
  <si>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</si>
  <si>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</si>
  <si>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</si>
  <si>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</si>
  <si>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</si>
  <si>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</si>
  <si>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</si>
  <si>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</si>
  <si>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</si>
  <si>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</si>
  <si>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</si>
  <si>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</si>
  <si>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</si>
  <si>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</si>
  <si>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</si>
  <si>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</si>
  <si>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</si>
  <si>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</si>
  <si>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</si>
  <si>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</si>
  <si>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</si>
  <si>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</si>
  <si>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</si>
  <si>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</si>
  <si>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</si>
  <si>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</si>
  <si>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</si>
  <si>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</si>
  <si>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</si>
  <si>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</si>
  <si>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</si>
  <si>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</si>
  <si>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</si>
  <si>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</si>
  <si>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</si>
  <si>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</si>
  <si>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</si>
  <si>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</si>
  <si>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</si>
  <si>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</si>
  <si>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</si>
  <si>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</si>
  <si>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</si>
  <si>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</si>
  <si>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</si>
  <si>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</si>
  <si>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</si>
  <si>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</si>
  <si>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</si>
  <si>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</si>
  <si>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</si>
  <si>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</si>
  <si>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</si>
  <si>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</si>
  <si>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</si>
  <si>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</si>
  <si>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</si>
  <si>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</si>
  <si>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</si>
  <si>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</si>
  <si>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</si>
  <si>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</si>
  <si>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</si>
  <si>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</si>
  <si>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</si>
  <si>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</si>
  <si>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</si>
  <si>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</si>
  <si>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</si>
  <si>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</si>
  <si>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</si>
  <si>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</si>
  <si>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</si>
  <si>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</si>
  <si>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</si>
  <si>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</si>
  <si>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</si>
  <si>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</si>
  <si>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</si>
  <si>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</si>
  <si>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</si>
  <si>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</si>
  <si>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</si>
  <si>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</si>
  <si>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</si>
  <si>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</si>
  <si>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</si>
  <si>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</si>
  <si>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</si>
  <si>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</si>
  <si>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</si>
  <si>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</si>
  <si>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</si>
  <si>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</si>
  <si>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</si>
  <si>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</si>
  <si>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</si>
  <si>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</si>
  <si>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</si>
  <si>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</si>
  <si>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</si>
  <si>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</si>
  <si>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</si>
  <si>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</si>
  <si>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</si>
  <si>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</si>
  <si>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</si>
  <si>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</si>
  <si>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</si>
  <si>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</si>
  <si>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</si>
  <si>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</si>
  <si>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</si>
  <si>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</si>
  <si>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</si>
  <si>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</si>
  <si>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</si>
  <si>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</si>
  <si>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</si>
  <si>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</si>
  <si>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</si>
  <si>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</si>
  <si>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</si>
  <si>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</si>
  <si>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</si>
  <si>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</si>
  <si>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</si>
  <si>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</si>
  <si>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</si>
  <si>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</si>
  <si>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</si>
  <si>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</si>
  <si>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</si>
  <si>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</si>
  <si>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</si>
  <si>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</si>
  <si>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</si>
  <si>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</si>
  <si>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</si>
  <si>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</si>
  <si>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</si>
  <si>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</si>
  <si>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</si>
  <si>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</si>
  <si>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</si>
  <si>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</si>
  <si>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</si>
  <si>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</si>
  <si>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</si>
  <si>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</si>
  <si>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</si>
  <si>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</si>
  <si>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</si>
  <si>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</si>
  <si>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</si>
  <si>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</si>
  <si>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</si>
  <si>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</si>
  <si>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</si>
  <si>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</si>
  <si>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</si>
  <si>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</si>
  <si>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</si>
  <si>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</si>
  <si>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</si>
  <si>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</si>
  <si>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</si>
  <si>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</si>
  <si>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</si>
  <si>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</si>
  <si>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</si>
  <si>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</si>
  <si>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</si>
  <si>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</si>
  <si>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</si>
  <si>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</si>
  <si>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</si>
  <si>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</si>
  <si>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</si>
  <si>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</si>
  <si>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</si>
  <si>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</si>
  <si>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</si>
  <si>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</si>
  <si>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</si>
  <si>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</si>
  <si>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</si>
  <si>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</si>
  <si>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</si>
  <si>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</si>
  <si>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</si>
  <si>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</si>
  <si>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</si>
  <si>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</si>
  <si>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</si>
  <si>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</si>
  <si>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</si>
  <si>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</si>
  <si>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</si>
  <si>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</si>
  <si>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</si>
  <si>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</si>
  <si>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</si>
  <si>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</si>
  <si>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</si>
  <si>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</si>
  <si>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</si>
  <si>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</si>
  <si>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</si>
  <si>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</si>
  <si>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</si>
  <si>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</si>
  <si>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</si>
  <si>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</si>
  <si>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</si>
  <si>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</si>
  <si>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</si>
  <si>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</si>
  <si>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</si>
  <si>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</si>
  <si>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</si>
  <si>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</si>
  <si>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</si>
  <si>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</si>
  <si>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</si>
  <si>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</si>
  <si>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</si>
  <si>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26612059</t>
  </si>
  <si>
    <t>АО "Коммунальные системы БАМа"</t>
  </si>
  <si>
    <t>2808023556</t>
  </si>
  <si>
    <t>280801001</t>
  </si>
  <si>
    <t>28975998</t>
  </si>
  <si>
    <t>АО "Луч"</t>
  </si>
  <si>
    <t>2816009756</t>
  </si>
  <si>
    <t>281601001</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</si>
  <si>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</si>
  <si>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</si>
  <si>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</si>
  <si>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</si>
  <si>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</si>
  <si>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</si>
  <si>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</si>
  <si>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</si>
  <si>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</si>
  <si>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</si>
  <si>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</si>
  <si>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</si>
  <si>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</si>
  <si>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</si>
  <si>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</si>
  <si>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</si>
  <si>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</si>
  <si>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</si>
  <si>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</si>
  <si>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</si>
  <si>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</si>
  <si>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</si>
  <si>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</si>
  <si>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</si>
  <si>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</si>
  <si>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</si>
  <si>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</si>
  <si>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</si>
  <si>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</si>
  <si>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</si>
  <si>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</si>
  <si>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</si>
  <si>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</si>
  <si>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</si>
  <si>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</si>
  <si>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</si>
  <si>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</si>
  <si>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</si>
  <si>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</si>
  <si>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</si>
  <si>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</si>
  <si>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</si>
  <si>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</si>
  <si>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</si>
  <si>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</si>
  <si>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</si>
  <si>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</si>
  <si>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</si>
  <si>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</si>
  <si>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</si>
  <si>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</si>
  <si>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</si>
  <si>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</si>
  <si>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</si>
  <si>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</si>
  <si>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</si>
  <si>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</si>
  <si>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</si>
  <si>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</si>
  <si>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</si>
  <si>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</si>
  <si>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</si>
  <si>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</si>
  <si>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</si>
  <si>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</si>
  <si>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</si>
  <si>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</si>
  <si>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</si>
  <si>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</si>
  <si>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</si>
  <si>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</si>
  <si>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</si>
  <si>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</si>
  <si>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</si>
  <si>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</si>
  <si>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</si>
  <si>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</si>
  <si>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</si>
  <si>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</si>
  <si>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</si>
  <si>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</si>
  <si>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</si>
  <si>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</si>
  <si>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</si>
  <si>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</si>
  <si>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</si>
  <si>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</si>
  <si>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</si>
  <si>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</si>
  <si>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</si>
  <si>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</si>
  <si>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</si>
  <si>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</si>
  <si>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</si>
  <si>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</si>
  <si>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</si>
  <si>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</si>
  <si>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</si>
  <si>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</si>
  <si>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</si>
  <si>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</si>
  <si>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</si>
  <si>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</si>
  <si>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</si>
  <si>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</si>
  <si>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26502547</t>
  </si>
  <si>
    <t>ОАО "ДЭП №197"</t>
  </si>
  <si>
    <t>2816008657</t>
  </si>
  <si>
    <t>29-01-2025 00:00:00</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</si>
  <si>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</si>
  <si>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</si>
  <si>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</si>
  <si>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</si>
  <si>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</si>
  <si>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</si>
  <si>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</si>
  <si>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</si>
  <si>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</si>
  <si>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</si>
  <si>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</si>
  <si>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</si>
  <si>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</si>
  <si>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</si>
  <si>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</si>
  <si>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</si>
  <si>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</si>
  <si>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</si>
  <si>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</si>
  <si>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</si>
  <si>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</si>
  <si>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</si>
  <si>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</si>
  <si>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</si>
  <si>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</si>
  <si>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</si>
  <si>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</si>
  <si>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</si>
  <si>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</si>
  <si>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</si>
  <si>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</si>
  <si>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</si>
  <si>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</si>
  <si>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</si>
  <si>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</si>
  <si>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</si>
  <si>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</si>
  <si>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</si>
  <si>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</si>
  <si>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</si>
  <si>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</si>
  <si>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</si>
  <si>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</si>
  <si>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</si>
  <si>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</si>
  <si>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</si>
  <si>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</si>
  <si>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</si>
  <si>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</si>
  <si>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</si>
  <si>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</si>
  <si>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</si>
  <si>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</si>
  <si>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</si>
  <si>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</si>
  <si>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</si>
  <si>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</si>
  <si>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</si>
  <si>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</si>
  <si>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</si>
  <si>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</si>
  <si>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</si>
  <si>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</si>
  <si>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</si>
  <si>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</si>
  <si>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</si>
  <si>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</si>
  <si>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</si>
  <si>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</si>
  <si>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</si>
  <si>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</si>
  <si>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</si>
  <si>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</si>
  <si>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</si>
  <si>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</si>
  <si>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</si>
  <si>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</si>
  <si>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</si>
  <si>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</si>
  <si>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</si>
  <si>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</si>
  <si>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</si>
  <si>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</si>
  <si>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</si>
  <si>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</si>
  <si>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</si>
  <si>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</si>
  <si>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</si>
  <si>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</si>
  <si>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</si>
  <si>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</si>
  <si>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</si>
  <si>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</si>
  <si>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</si>
  <si>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</si>
  <si>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</si>
  <si>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</si>
  <si>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</si>
  <si>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</si>
  <si>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</si>
  <si>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</si>
  <si>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</si>
  <si>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</si>
  <si>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</si>
  <si>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</si>
  <si>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</si>
  <si>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</si>
  <si>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</si>
  <si>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</si>
  <si>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</si>
  <si>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</si>
  <si>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</si>
  <si>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</si>
  <si>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</si>
  <si>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</si>
  <si>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</si>
  <si>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</si>
  <si>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</si>
  <si>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</si>
  <si>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</si>
  <si>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</si>
  <si>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</si>
  <si>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</si>
  <si>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</si>
  <si>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</si>
  <si>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</si>
  <si>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</si>
  <si>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</si>
  <si>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</si>
  <si>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</si>
  <si>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</si>
  <si>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</si>
  <si>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</si>
  <si>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</si>
  <si>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</si>
  <si>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</si>
  <si>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</si>
  <si>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</si>
  <si>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</si>
  <si>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</si>
  <si>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</si>
  <si>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</si>
  <si>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</si>
  <si>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</si>
  <si>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</si>
  <si>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</si>
  <si>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</si>
  <si>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</si>
  <si>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</si>
  <si>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</si>
  <si>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</si>
  <si>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</si>
  <si>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</si>
  <si>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</si>
  <si>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</si>
  <si>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</si>
  <si>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</si>
  <si>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</si>
  <si>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</si>
  <si>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</si>
  <si>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</si>
  <si>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</si>
  <si>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</si>
  <si>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</si>
  <si>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</si>
  <si>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</si>
  <si>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</si>
  <si>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</si>
  <si>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</si>
  <si>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</si>
  <si>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</si>
  <si>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</si>
  <si>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</si>
  <si>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</si>
  <si>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</si>
  <si>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</si>
  <si>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</si>
  <si>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</si>
  <si>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</si>
  <si>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</si>
  <si>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</si>
  <si>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</si>
  <si>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</si>
  <si>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</si>
  <si>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</si>
  <si>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</si>
  <si>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</si>
  <si>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</si>
  <si>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</si>
  <si>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</si>
  <si>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</si>
  <si>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</si>
  <si>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</si>
  <si>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</si>
  <si>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</si>
  <si>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</si>
  <si>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</si>
  <si>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</si>
  <si>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</si>
  <si>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</si>
  <si>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</si>
  <si>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</si>
  <si>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</si>
  <si>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</si>
  <si>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</si>
  <si>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</si>
  <si>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</si>
  <si>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</si>
  <si>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</si>
  <si>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</si>
  <si>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</si>
  <si>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</si>
  <si>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</si>
  <si>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</si>
  <si>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</si>
  <si>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</si>
  <si>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</si>
  <si>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</si>
  <si>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</si>
  <si>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</si>
  <si>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</si>
  <si>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</si>
  <si>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</si>
  <si>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</si>
  <si>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</si>
  <si>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</si>
  <si>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</si>
  <si>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</si>
  <si>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</si>
  <si>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</si>
  <si>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</si>
  <si>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</si>
  <si>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</si>
  <si>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</si>
  <si>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</si>
  <si>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</si>
  <si>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</si>
  <si>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</si>
  <si>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</si>
  <si>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</si>
  <si>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</si>
  <si>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</si>
  <si>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</si>
  <si>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</si>
  <si>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</si>
  <si>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</si>
  <si>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</si>
  <si>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</si>
  <si>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</si>
  <si>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</si>
  <si>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</si>
  <si>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</si>
  <si>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</si>
  <si>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</si>
  <si>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</si>
  <si>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</si>
  <si>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</si>
  <si>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</si>
  <si>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</si>
  <si>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</si>
  <si>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</si>
  <si>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</si>
  <si>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</si>
  <si>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</si>
  <si>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</si>
  <si>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</si>
  <si>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</si>
  <si>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</si>
  <si>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</si>
  <si>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</si>
  <si>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</si>
  <si>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</si>
  <si>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</si>
  <si>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</si>
  <si>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</si>
  <si>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</si>
  <si>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</si>
  <si>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</si>
  <si>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</si>
  <si>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</si>
  <si>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</si>
  <si>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</si>
  <si>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</si>
  <si>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</si>
  <si>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</si>
  <si>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</si>
  <si>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</si>
  <si>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</si>
  <si>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</si>
  <si>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</si>
  <si>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</si>
  <si>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</si>
  <si>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</si>
  <si>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</si>
  <si>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</si>
  <si>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</si>
  <si>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</si>
  <si>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</si>
  <si>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</si>
  <si>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</si>
  <si>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</si>
  <si>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</si>
  <si>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</si>
  <si>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</si>
  <si>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</si>
  <si>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</si>
  <si>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</si>
  <si>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</si>
  <si>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</si>
  <si>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</si>
  <si>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</si>
  <si>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</si>
  <si>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</si>
  <si>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</si>
  <si>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</si>
  <si>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</si>
  <si>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</si>
  <si>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</si>
  <si>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</si>
  <si>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</si>
  <si>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</si>
  <si>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</si>
  <si>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</si>
  <si>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</si>
  <si>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</si>
  <si>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</si>
  <si>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</si>
  <si>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</si>
  <si>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</si>
  <si>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</si>
  <si>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</si>
  <si>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</si>
  <si>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</si>
  <si>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</si>
  <si>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</si>
  <si>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</si>
  <si>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</si>
  <si>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</si>
  <si>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</si>
  <si>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</si>
  <si>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</si>
  <si>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</si>
  <si>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</si>
  <si>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</si>
  <si>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</si>
  <si>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</si>
  <si>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</si>
  <si>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</si>
  <si>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</si>
  <si>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</si>
  <si>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</si>
  <si>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</si>
  <si>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</si>
  <si>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</si>
  <si>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</si>
  <si>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</si>
  <si>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</si>
  <si>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</si>
  <si>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</si>
  <si>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</si>
  <si>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</si>
  <si>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</si>
  <si>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</si>
  <si>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</si>
  <si>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</si>
  <si>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</si>
  <si>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</si>
  <si>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</si>
  <si>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</si>
  <si>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</si>
  <si>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</si>
  <si>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</si>
  <si>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</si>
  <si>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</si>
  <si>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</si>
  <si>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</si>
  <si>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</si>
  <si>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</si>
  <si>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</si>
  <si>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</si>
  <si>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</si>
  <si>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</si>
  <si>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</si>
  <si>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</si>
  <si>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</si>
  <si>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</si>
  <si>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</si>
  <si>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</si>
  <si>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</si>
  <si>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</si>
  <si>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</si>
  <si>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</si>
  <si>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</si>
  <si>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</si>
  <si>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</si>
  <si>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</si>
  <si>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</si>
  <si>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</si>
  <si>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</si>
  <si>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</si>
  <si>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</si>
  <si>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</si>
  <si>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</si>
  <si>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</si>
  <si>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</si>
  <si>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</si>
  <si>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</si>
  <si>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</si>
  <si>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</si>
  <si>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</si>
  <si>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</si>
  <si>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</si>
  <si>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</si>
  <si>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</si>
  <si>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</si>
  <si>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</si>
  <si>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</si>
  <si>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</si>
  <si>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</si>
  <si>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</si>
  <si>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</si>
  <si>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</si>
  <si>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</si>
  <si>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</si>
  <si>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</si>
  <si>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</si>
  <si>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</si>
  <si>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</si>
  <si>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</si>
  <si>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</si>
  <si>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</si>
  <si>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</si>
  <si>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</si>
  <si>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</si>
  <si>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</si>
  <si>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</si>
  <si>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</si>
  <si>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</si>
  <si>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</si>
  <si>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</si>
  <si>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</si>
  <si>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</si>
  <si>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</si>
  <si>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</si>
  <si>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</si>
  <si>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</si>
  <si>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</si>
  <si>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</si>
  <si>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</si>
  <si>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</si>
  <si>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</si>
  <si>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</si>
  <si>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</si>
  <si>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</si>
  <si>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</si>
  <si>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</si>
  <si>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</si>
  <si>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</si>
  <si>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</si>
  <si>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</si>
  <si>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</si>
  <si>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</si>
  <si>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</si>
  <si>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</si>
  <si>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</si>
  <si>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</si>
  <si>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</si>
  <si>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</si>
  <si>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</si>
  <si>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</si>
  <si>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</si>
  <si>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</si>
  <si>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</si>
  <si>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</si>
  <si>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</si>
  <si>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</si>
  <si>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</si>
  <si>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</si>
  <si>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</si>
  <si>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</si>
  <si>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</si>
  <si>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</si>
  <si>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</si>
  <si>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</si>
  <si>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</si>
  <si>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</si>
  <si>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</si>
  <si>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</si>
  <si>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</si>
  <si>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</si>
  <si>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</si>
  <si>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</si>
  <si>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</si>
  <si>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</si>
  <si>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</si>
  <si>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</si>
  <si>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</si>
  <si>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</si>
  <si>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</si>
  <si>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</si>
  <si>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</si>
  <si>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</si>
  <si>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</si>
  <si>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</si>
  <si>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</si>
  <si>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</si>
  <si>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</si>
  <si>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</si>
  <si>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</si>
  <si>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</si>
  <si>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</si>
  <si>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</si>
  <si>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</si>
  <si>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</si>
  <si>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</si>
  <si>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</si>
  <si>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</si>
  <si>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</si>
  <si>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</si>
  <si>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</si>
  <si>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</si>
  <si>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</si>
  <si>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</si>
  <si>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</si>
  <si>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</si>
  <si>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</si>
  <si>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</si>
  <si>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</si>
  <si>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</si>
  <si>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</si>
  <si>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</si>
  <si>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</si>
  <si>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</si>
  <si>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</si>
  <si>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</si>
  <si>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</si>
  <si>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</si>
  <si>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</si>
  <si>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</si>
  <si>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</si>
  <si>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</si>
  <si>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</si>
  <si>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</si>
  <si>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</si>
  <si>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</si>
  <si>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</si>
  <si>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</si>
  <si>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</si>
  <si>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</si>
  <si>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</si>
  <si>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</si>
  <si>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</si>
  <si>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</si>
  <si>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</si>
  <si>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</si>
  <si>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</si>
  <si>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</si>
  <si>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</si>
  <si>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</si>
  <si>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</si>
  <si>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</si>
  <si>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</si>
  <si>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</si>
  <si>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</si>
  <si>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</si>
  <si>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</si>
  <si>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</si>
  <si>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</si>
  <si>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</si>
  <si>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</si>
  <si>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</si>
  <si>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</si>
  <si>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</si>
  <si>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</si>
  <si>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</si>
  <si>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</si>
  <si>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</si>
  <si>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</si>
  <si>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</si>
  <si>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</si>
  <si>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</si>
  <si>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</si>
  <si>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</si>
  <si>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</si>
  <si>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</si>
  <si>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</si>
  <si>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</si>
  <si>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</si>
  <si>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</si>
  <si>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</si>
  <si>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</si>
  <si>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</si>
  <si>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</si>
  <si>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</si>
  <si>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</si>
  <si>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</si>
  <si>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</si>
  <si>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</si>
  <si>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</si>
  <si>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</si>
  <si>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</si>
  <si>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</si>
  <si>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</si>
  <si>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</si>
  <si>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</si>
  <si>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</si>
  <si>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</si>
  <si>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</si>
  <si>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30355176</t>
  </si>
  <si>
    <t>ООО "ЖКХ Архара"</t>
  </si>
  <si>
    <t>2810005473</t>
  </si>
  <si>
    <t>30383020</t>
  </si>
  <si>
    <t>ООО "Жилищно-коммунальное хозяйство "Искра""</t>
  </si>
  <si>
    <t>2824005466</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</si>
  <si>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</si>
  <si>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</si>
  <si>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</si>
  <si>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</si>
  <si>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</si>
  <si>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</si>
  <si>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</si>
  <si>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</si>
  <si>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</si>
  <si>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</si>
  <si>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</si>
  <si>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</si>
  <si>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</si>
  <si>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</si>
  <si>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</si>
  <si>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</si>
  <si>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</si>
  <si>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</si>
  <si>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</si>
  <si>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</si>
  <si>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</si>
  <si>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</si>
  <si>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</si>
  <si>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</si>
  <si>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</si>
  <si>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</si>
  <si>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</si>
  <si>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</si>
  <si>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</si>
  <si>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</si>
  <si>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</si>
  <si>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</si>
  <si>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</si>
  <si>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</si>
  <si>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</si>
  <si>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</si>
  <si>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</si>
  <si>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</si>
  <si>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</si>
  <si>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</si>
  <si>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</si>
  <si>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</si>
  <si>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</si>
  <si>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</si>
  <si>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</si>
  <si>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</si>
  <si>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</si>
  <si>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</si>
  <si>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</si>
  <si>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</si>
  <si>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</si>
  <si>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</si>
  <si>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</si>
  <si>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</si>
  <si>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</si>
  <si>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</si>
  <si>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</si>
  <si>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</si>
  <si>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</si>
  <si>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</si>
  <si>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</si>
  <si>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</si>
  <si>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</si>
  <si>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</si>
  <si>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</si>
  <si>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</si>
  <si>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</si>
  <si>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</si>
  <si>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</si>
  <si>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</si>
  <si>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</si>
  <si>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</si>
  <si>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</si>
  <si>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</si>
  <si>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</si>
  <si>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</si>
  <si>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</si>
  <si>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</si>
  <si>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</si>
  <si>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</si>
  <si>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</si>
  <si>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</si>
  <si>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</si>
  <si>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</si>
  <si>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</si>
  <si>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</si>
  <si>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</si>
  <si>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</si>
  <si>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</si>
  <si>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</si>
  <si>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</si>
  <si>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</si>
  <si>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</si>
  <si>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</si>
  <si>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</si>
  <si>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</si>
  <si>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</si>
  <si>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</si>
  <si>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</si>
  <si>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</si>
  <si>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</si>
  <si>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</si>
  <si>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</si>
  <si>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</si>
  <si>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</si>
  <si>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</si>
  <si>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</si>
  <si>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</si>
  <si>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</si>
  <si>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</si>
  <si>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</si>
  <si>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</si>
  <si>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</si>
  <si>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</si>
  <si>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</si>
  <si>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</si>
  <si>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</si>
  <si>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</si>
  <si>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</si>
  <si>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</si>
  <si>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</si>
  <si>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</si>
  <si>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</si>
  <si>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</si>
  <si>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</si>
  <si>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</si>
  <si>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</si>
  <si>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</si>
  <si>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</si>
  <si>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</si>
  <si>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</si>
  <si>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</si>
  <si>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</si>
  <si>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</si>
  <si>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</si>
  <si>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</si>
  <si>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</si>
  <si>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</si>
  <si>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</si>
  <si>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</si>
  <si>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</si>
  <si>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</si>
  <si>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</si>
  <si>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</si>
  <si>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</si>
  <si>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</si>
  <si>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</si>
  <si>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</si>
  <si>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</si>
  <si>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</si>
  <si>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</si>
  <si>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</si>
  <si>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</si>
  <si>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</si>
  <si>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</si>
  <si>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</si>
  <si>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</si>
  <si>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</si>
  <si>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</si>
  <si>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</si>
  <si>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</si>
  <si>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</si>
  <si>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</si>
  <si>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</si>
  <si>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</si>
  <si>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</si>
  <si>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</si>
  <si>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</si>
  <si>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</si>
  <si>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</si>
  <si>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</si>
  <si>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</si>
  <si>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</si>
  <si>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</si>
  <si>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</si>
  <si>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</si>
  <si>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</si>
  <si>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</si>
  <si>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</si>
  <si>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</si>
  <si>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</si>
  <si>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</si>
  <si>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</si>
  <si>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</si>
  <si>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</si>
  <si>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</si>
  <si>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</si>
  <si>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</si>
  <si>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</si>
  <si>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</si>
  <si>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</si>
  <si>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</si>
  <si>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</si>
  <si>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</si>
  <si>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</si>
  <si>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</si>
  <si>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</si>
  <si>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</si>
  <si>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</si>
  <si>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</si>
  <si>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</si>
  <si>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</si>
  <si>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</si>
  <si>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</si>
  <si>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</si>
  <si>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</si>
  <si>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</si>
  <si>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</si>
  <si>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</si>
  <si>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</si>
  <si>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</si>
  <si>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</si>
  <si>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</si>
  <si>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</si>
  <si>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</si>
  <si>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</si>
  <si>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</si>
  <si>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</si>
  <si>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</si>
  <si>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</si>
  <si>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</si>
  <si>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</si>
  <si>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</si>
  <si>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</si>
  <si>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</si>
  <si>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</si>
  <si>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</si>
  <si>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</si>
  <si>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</si>
  <si>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</si>
  <si>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</si>
  <si>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</si>
  <si>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</si>
  <si>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</si>
  <si>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</si>
  <si>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</si>
  <si>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</si>
  <si>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</si>
  <si>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</si>
  <si>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</si>
  <si>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</si>
  <si>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</si>
  <si>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</si>
  <si>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</si>
  <si>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</si>
  <si>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</si>
  <si>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</si>
  <si>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</si>
  <si>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</si>
  <si>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</si>
  <si>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</si>
  <si>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</si>
  <si>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</si>
  <si>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</si>
  <si>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</si>
  <si>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</si>
  <si>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</si>
  <si>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</si>
  <si>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</si>
  <si>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</si>
  <si>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</si>
  <si>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</si>
  <si>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</si>
  <si>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</si>
  <si>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</si>
  <si>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</si>
  <si>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</si>
  <si>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</si>
  <si>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</si>
  <si>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</si>
  <si>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</si>
  <si>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</si>
  <si>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</si>
  <si>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</si>
  <si>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</si>
  <si>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</si>
  <si>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</si>
  <si>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</si>
  <si>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</si>
  <si>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</si>
  <si>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</si>
  <si>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</si>
  <si>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</si>
  <si>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</si>
  <si>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</si>
  <si>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</si>
  <si>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</si>
  <si>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</si>
  <si>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</si>
  <si>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</si>
  <si>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</si>
  <si>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</si>
  <si>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</si>
  <si>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</si>
  <si>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</si>
  <si>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</si>
  <si>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</si>
  <si>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</si>
  <si>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</si>
  <si>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</si>
  <si>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</si>
  <si>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</si>
  <si>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</si>
  <si>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</si>
  <si>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</si>
  <si>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</si>
  <si>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</si>
  <si>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</si>
  <si>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</si>
  <si>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</si>
  <si>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</si>
  <si>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</si>
  <si>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</si>
  <si>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</si>
  <si>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</si>
  <si>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</si>
  <si>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</si>
  <si>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</si>
  <si>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</si>
  <si>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</si>
  <si>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</si>
  <si>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</si>
  <si>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</si>
  <si>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</si>
  <si>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</si>
  <si>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</si>
  <si>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</si>
  <si>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</si>
  <si>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</si>
  <si>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</si>
  <si>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</si>
  <si>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</si>
  <si>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</si>
  <si>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</si>
  <si>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</si>
  <si>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</si>
  <si>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</si>
  <si>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</si>
  <si>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</si>
  <si>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</si>
  <si>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</si>
  <si>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</si>
  <si>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</si>
  <si>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</si>
  <si>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</si>
  <si>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</si>
  <si>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</si>
  <si>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</si>
  <si>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</si>
  <si>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</si>
  <si>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</si>
  <si>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</si>
  <si>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</si>
  <si>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</si>
  <si>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</si>
  <si>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</si>
  <si>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</si>
  <si>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</si>
  <si>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</si>
  <si>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</si>
  <si>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</si>
  <si>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</si>
  <si>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</si>
  <si>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</si>
  <si>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</si>
  <si>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</si>
  <si>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</si>
  <si>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</si>
  <si>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</si>
  <si>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</si>
  <si>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</si>
  <si>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</si>
  <si>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</si>
  <si>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</si>
  <si>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</si>
  <si>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</si>
  <si>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</si>
  <si>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</si>
  <si>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</si>
  <si>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</si>
  <si>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</si>
  <si>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</si>
  <si>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</si>
  <si>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</si>
  <si>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</si>
  <si>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</si>
  <si>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</si>
  <si>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</si>
  <si>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</si>
  <si>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</si>
  <si>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</si>
  <si>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</si>
  <si>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</si>
  <si>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</si>
  <si>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</si>
  <si>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</si>
  <si>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</si>
  <si>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</si>
  <si>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</si>
  <si>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</si>
  <si>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</si>
  <si>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</si>
  <si>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</si>
  <si>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</si>
  <si>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</si>
  <si>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</si>
  <si>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</si>
  <si>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</si>
  <si>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</si>
  <si>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</si>
  <si>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</si>
  <si>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</si>
  <si>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</si>
  <si>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</si>
  <si>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</si>
  <si>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</si>
  <si>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</si>
  <si>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</si>
  <si>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</si>
  <si>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</si>
  <si>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</si>
  <si>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</si>
  <si>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</si>
  <si>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</si>
  <si>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</si>
  <si>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</si>
  <si>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</si>
  <si>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</si>
  <si>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</si>
  <si>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</si>
  <si>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</si>
  <si>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</si>
  <si>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</si>
  <si>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</si>
  <si>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</si>
  <si>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</si>
  <si>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</si>
  <si>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</si>
  <si>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</si>
  <si>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</si>
  <si>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</si>
  <si>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</si>
  <si>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</si>
  <si>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</si>
  <si>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</si>
  <si>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</si>
  <si>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</si>
  <si>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</si>
  <si>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</si>
  <si>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</si>
  <si>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</si>
  <si>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</si>
  <si>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</si>
  <si>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</si>
  <si>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</si>
  <si>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</si>
  <si>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</si>
  <si>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</si>
  <si>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</si>
  <si>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</si>
  <si>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</si>
  <si>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</si>
  <si>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</si>
  <si>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</si>
  <si>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</si>
  <si>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</si>
  <si>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</si>
  <si>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</si>
  <si>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</si>
  <si>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</si>
  <si>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</si>
  <si>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</si>
  <si>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</si>
  <si>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</si>
  <si>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</si>
  <si>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</si>
  <si>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</si>
  <si>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</si>
  <si>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</si>
  <si>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</si>
  <si>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</si>
  <si>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</si>
  <si>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</si>
  <si>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</si>
  <si>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</si>
  <si>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</si>
  <si>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</si>
  <si>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</si>
  <si>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</si>
  <si>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</si>
  <si>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</si>
  <si>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</si>
  <si>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</si>
  <si>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</si>
  <si>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</si>
  <si>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</si>
  <si>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</si>
  <si>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</si>
  <si>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</si>
  <si>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</si>
  <si>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</si>
  <si>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</si>
  <si>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</si>
  <si>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</si>
  <si>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</si>
  <si>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</si>
  <si>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</si>
  <si>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</si>
  <si>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</si>
  <si>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</si>
  <si>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</si>
  <si>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</si>
  <si>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</si>
  <si>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</si>
  <si>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</si>
  <si>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</si>
  <si>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</si>
  <si>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</si>
  <si>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</si>
  <si>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</si>
  <si>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</si>
  <si>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</si>
  <si>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</si>
  <si>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</si>
  <si>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</si>
  <si>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</si>
  <si>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</si>
  <si>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</si>
  <si>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</si>
  <si>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</si>
  <si>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</si>
  <si>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</si>
  <si>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</si>
  <si>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</si>
  <si>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</si>
  <si>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</si>
  <si>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</si>
  <si>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</si>
  <si>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</si>
  <si>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</si>
  <si>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</si>
  <si>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</si>
  <si>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</si>
  <si>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</si>
  <si>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</si>
  <si>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</si>
  <si>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</si>
  <si>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</si>
  <si>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</si>
  <si>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</si>
  <si>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</si>
  <si>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</si>
  <si>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</si>
  <si>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</si>
  <si>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</si>
  <si>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31.12.2029</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</si>
  <si>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</si>
  <si>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</si>
  <si>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</si>
  <si>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</si>
  <si>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</si>
  <si>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</si>
  <si>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</si>
  <si>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</si>
  <si>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</si>
  <si>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</si>
  <si>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</si>
  <si>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</si>
  <si>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</si>
  <si>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</si>
  <si>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</si>
  <si>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</si>
  <si>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</si>
  <si>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</si>
  <si>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</si>
  <si>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</si>
  <si>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</si>
  <si>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</si>
  <si>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</si>
  <si>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</si>
  <si>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</si>
  <si>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</si>
  <si>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</si>
  <si>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</si>
  <si>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</si>
  <si>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</si>
  <si>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</si>
  <si>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</si>
  <si>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</si>
  <si>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</si>
  <si>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</si>
  <si>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</si>
  <si>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</si>
  <si>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</si>
  <si>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</si>
  <si>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</si>
  <si>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</si>
  <si>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</si>
  <si>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</si>
  <si>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</si>
  <si>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</si>
  <si>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</si>
  <si>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</si>
  <si>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</si>
  <si>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</si>
  <si>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</si>
  <si>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</si>
  <si>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</si>
  <si>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</si>
  <si>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</si>
  <si>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</si>
  <si>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</si>
  <si>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</si>
  <si>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</si>
  <si>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</si>
  <si>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</si>
  <si>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</si>
  <si>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</si>
  <si>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</si>
  <si>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</si>
  <si>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</si>
  <si>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</si>
  <si>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</si>
  <si>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</si>
  <si>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</si>
  <si>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</si>
  <si>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</si>
  <si>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</si>
  <si>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</si>
  <si>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</si>
  <si>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</si>
  <si>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</si>
  <si>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</si>
  <si>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</si>
  <si>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</si>
  <si>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</si>
  <si>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</si>
  <si>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</si>
  <si>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</si>
  <si>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</si>
  <si>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</si>
  <si>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</si>
  <si>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</si>
  <si>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</si>
  <si>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</si>
  <si>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</si>
  <si>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</si>
  <si>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</si>
  <si>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</si>
  <si>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</si>
  <si>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</si>
  <si>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</si>
  <si>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</si>
  <si>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</si>
  <si>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</si>
  <si>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</si>
  <si>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</si>
  <si>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</si>
  <si>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</si>
  <si>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</si>
  <si>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</si>
  <si>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</si>
  <si>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</si>
  <si>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</si>
  <si>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</si>
  <si>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</si>
  <si>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</si>
  <si>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</si>
  <si>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</si>
  <si>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</si>
  <si>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</si>
  <si>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</si>
  <si>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</si>
  <si>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</si>
  <si>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</si>
  <si>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</si>
  <si>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</si>
  <si>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</si>
  <si>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</si>
  <si>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</si>
  <si>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Котельная "Центральная"</t>
  </si>
  <si>
    <t>ТИ</t>
  </si>
  <si>
    <t>с Чигири</t>
  </si>
  <si>
    <t>10511000226</t>
  </si>
  <si>
    <t>Тепличная</t>
  </si>
  <si>
    <t>2а</t>
  </si>
  <si>
    <t>муниципальное имущество</t>
  </si>
  <si>
    <t>аренда</t>
  </si>
  <si>
    <t>эксплуатируется</t>
  </si>
  <si>
    <t>договор</t>
  </si>
  <si>
    <t>322/4 АТС-23</t>
  </si>
  <si>
    <t>16.12.2023</t>
  </si>
  <si>
    <t>7.5</t>
  </si>
  <si>
    <t>[Уголь бурый] :: [Уголь длиннопламенный] :: [Уголь слабоспекающийся]</t>
  </si>
  <si>
    <t>сеть</t>
  </si>
  <si>
    <t>Чигири</t>
  </si>
  <si>
    <t>бесхозное имущество</t>
  </si>
  <si>
    <t>Отсутствует</t>
  </si>
  <si>
    <t>договор обслуживания</t>
  </si>
  <si>
    <t>1005.6</t>
  </si>
  <si>
    <t>813.63</t>
  </si>
  <si>
    <t>частная собственность</t>
  </si>
  <si>
    <t>собственное имущество</t>
  </si>
  <si>
    <t>свидетельство</t>
  </si>
  <si>
    <t>собственность</t>
  </si>
  <si>
    <t>28АА124168,
28АА124169,
28АА124171,
28АА124187,
28АА309747,
28АА398688,
28АА398689,
28АА496326,
28АА496342,
28АА669050,
28АА674233,
28АА674265,
28АА707834,
28АА960194</t>
  </si>
  <si>
    <t>31.12.2016</t>
  </si>
  <si>
    <t>813.628</t>
  </si>
  <si>
    <t>[Уголь бурый] :: [Уголь жирный] :: [Уголь длиннопламенный] :: [Уголь слабоспекающийся] :: [Мазут М-100]</t>
  </si>
  <si>
    <t>[Уголь бурый] :: [Уголь жирный] :: [Мазут М-100]</t>
  </si>
  <si>
    <t>договор по эксплуатации и техническому обслуживанию</t>
  </si>
  <si>
    <t>№ 3902 от 12.11.2019, №164 от 22.01.2018г, №1981 от 29.06.2018, №2982 от 25.09.2018г, №3275 от 17.10.2018, №3801 от 01.11.2019г, №4173 от 19.12.2018, №4202 от 09.12.2019г, №4217 от 27.11.2017г, №798 от 23.03.2018г, №975 от 09.04.2018, №б/н от 21.11.2018</t>
  </si>
  <si>
    <t>09.01.2019</t>
  </si>
  <si>
    <t>Котельная "Кирзавод"</t>
  </si>
  <si>
    <t>Депутатская</t>
  </si>
  <si>
    <t>б/н</t>
  </si>
  <si>
    <t>концессионное соглашение</t>
  </si>
  <si>
    <t>соглашение</t>
  </si>
  <si>
    <t>09/08/2021</t>
  </si>
  <si>
    <t>09.08.2021</t>
  </si>
  <si>
    <t>1.92</t>
  </si>
  <si>
    <t>.55</t>
  </si>
  <si>
    <t>[Уголь бурый]</t>
  </si>
  <si>
    <t>выписка из ЕГРН</t>
  </si>
  <si>
    <t>28:04:000000:3882-28/055/2023-6</t>
  </si>
  <si>
    <t>23.06.2023</t>
  </si>
  <si>
    <t>3.28</t>
  </si>
  <si>
    <t>СП РГРЭС</t>
  </si>
  <si>
    <t>рп (пгт) Прогресс</t>
  </si>
  <si>
    <t>10775000051</t>
  </si>
  <si>
    <t>Бурейская</t>
  </si>
  <si>
    <t>28 АА_632873, 28АА_285738, 28АА_285729, 28АА_285730, 28АА_285734,              28АА_ 285733, 28АА_285735, 28АА_631915, 28АА_285731, 28АА_275736, 28АА_285737,                  28 АА_134317,                  28 АА_516659,               28 АА 544510,                 29 АА 544509,                    28 АА_544508,                  28 АА_544511</t>
  </si>
  <si>
    <t>10.07.2012</t>
  </si>
  <si>
    <t>173.1</t>
  </si>
  <si>
    <t>41.048</t>
  </si>
  <si>
    <t>[Уголь бурый] :: [Мазут М-100]</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</si>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</sst>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2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201"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1" fontId="22" fillId="39"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1" fontId="22" fillId="36" borderId="63" xfId="0" applyFont="1" applyFill="1" applyBorder="1" applyNumberFormat="1">
      <alignment vertical="center" wrapText="1"/>
      <protection locked="0"/>
    </xf>
    <xf numFmtId="49" fontId="22" fillId="35"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7" fillId="36" borderId="12" xfId="0" applyFont="1" applyFill="1" applyBorder="1" applyNumberFormat="1">
      <alignment horizontal="left" vertical="center" wrapText="1"/>
      <protection locked="0"/>
    </xf>
    <xf numFmtId="49" fontId="27" fillId="36" borderId="14"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2b4abf52-2ffb-442a-b8fc-1e22ae662138" TargetMode="External"/><Relationship Id="rId3" Type="http://schemas.openxmlformats.org/officeDocument/2006/relationships/hyperlink" Target="https://portal.eias.ru/Portal/DownloadPage.aspx?type=12&amp;guid=2b4abf52-2ffb-442a-b8fc-1e22ae662138" TargetMode="External"/><Relationship Id="rId4" Type="http://schemas.openxmlformats.org/officeDocument/2006/relationships/hyperlink" Target="https://portal.eias.ru/Portal/DownloadPage.aspx?type=12&amp;guid=2b4abf52-2ffb-442a-b8fc-1e22ae662138" TargetMode="External"/><Relationship Id="rId5" Type="http://schemas.openxmlformats.org/officeDocument/2006/relationships/hyperlink" Target="https://portal.eias.ru/Portal/DownloadPage.aspx?type=12&amp;guid=2b4abf52-2ffb-442a-b8fc-1e22ae662138" TargetMode="External"/><Relationship Id="rId6" Type="http://schemas.openxmlformats.org/officeDocument/2006/relationships/hyperlink" Target="https://portal.eias.ru/Portal/DownloadPage.aspx?type=12&amp;guid=2b4abf52-2ffb-442a-b8fc-1e22ae662138" TargetMode="External"/><Relationship Id="rId7" Type="http://schemas.openxmlformats.org/officeDocument/2006/relationships/hyperlink" Target="https://portal.eias.ru/Portal/DownloadPage.aspx?type=12&amp;guid=f4aef5ee-1385-45ad-b739-83f59f6ed260" TargetMode="External"/><Relationship Id="rId8" Type="http://schemas.openxmlformats.org/officeDocument/2006/relationships/hyperlink" Target="https://portal.eias.ru/Portal/DownloadPage.aspx?type=12&amp;guid=8a966cb6-609f-4496-84de-c129fcc70d6a" TargetMode="External"/><Relationship Id="rId9" Type="http://schemas.openxmlformats.org/officeDocument/2006/relationships/hyperlink" Target="https://portal.eias.ru/Portal/DownloadPage.aspx?type=12&amp;guid=1515650e-4298-4555-b292-b4044dd67a59" TargetMode="External"/><Relationship Id="rId10" Type="http://schemas.openxmlformats.org/officeDocument/2006/relationships/hyperlink" Target="https://portal.eias.ru/Portal/DownloadPage.aspx?type=12&amp;guid=f4aef5ee-1385-45ad-b739-83f59f6ed260" TargetMode="External"/><Relationship Id="rId11" Type="http://schemas.openxmlformats.org/officeDocument/2006/relationships/hyperlink" Target="https://portal.eias.ru/Portal/DownloadPage.aspx?type=12&amp;guid=35e9eef2-d35e-4468-a5de-f32c3951ebf7"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s://www.dvgk.ru/" TargetMode="External"/><Relationship Id="rId3" Type="http://schemas.openxmlformats.org/officeDocument/2006/relationships/hyperlink" Target="https://www.dvgk.ru/" TargetMode="External"/><Relationship Id="rId4" Type="http://schemas.openxmlformats.org/officeDocument/2006/relationships/hyperlink" Target="https://www.dvgk.ru/"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4DA3B-A5BE-70B9-A7F1-09465A876F0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24" width="5.421875" customWidth="1"/>
    <col min="2" max="2" style="2924" width="9.140625" customWidth="1"/>
    <col min="3" max="3" style="2924" width="16.421875" customWidth="1"/>
    <col min="4" max="25" style="2924" width="6.28125" customWidth="1"/>
    <col min="26" max="28" style="2924"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98" t="s">
        <v>1</v>
      </c>
      <c r="C2" s="2098"/>
      <c r="D2" s="2098"/>
      <c r="E2" s="2098"/>
      <c r="F2" s="2098"/>
      <c r="G2" s="2098"/>
      <c r="H2" s="2098"/>
      <c r="I2" s="2098"/>
      <c r="J2" s="2098"/>
      <c r="K2" s="2098"/>
      <c r="L2" s="2098"/>
      <c r="M2" s="2098"/>
      <c r="N2" s="2098"/>
      <c r="O2" s="2098"/>
      <c r="P2" s="2098"/>
      <c r="Q2" s="1712"/>
      <c r="R2" s="1712"/>
      <c r="S2" s="1712"/>
      <c r="T2" s="1712"/>
      <c r="U2" s="1712"/>
      <c r="V2" s="1713"/>
      <c r="W2" s="1712"/>
      <c r="X2" s="1712"/>
      <c r="Y2" s="1709"/>
      <c r="Z2" s="1708"/>
      <c r="AA2" s="1710"/>
      <c r="AB2" s="1708"/>
    </row>
    <row customHeight="1" ht="15.75">
      <c r="A3" s="1708"/>
      <c r="B3" s="2099" t="s">
        <v>2</v>
      </c>
      <c r="C3" s="2099"/>
      <c r="D3" s="2099"/>
      <c r="E3" s="2099"/>
      <c r="F3" s="2099"/>
      <c r="G3" s="2099"/>
      <c r="H3" s="2099"/>
      <c r="I3" s="2099"/>
      <c r="J3" s="2099"/>
      <c r="K3" s="2099"/>
      <c r="L3" s="2099"/>
      <c r="M3" s="2099"/>
      <c r="N3" s="2099"/>
      <c r="O3" s="2099"/>
      <c r="P3" s="2099"/>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15"/>
      <c r="AA5" s="1710"/>
      <c r="AB5" s="1715"/>
    </row>
    <row customHeight="1" ht="15">
      <c r="A6" s="1716"/>
      <c r="B6" s="2103" t="s">
        <v>3</v>
      </c>
      <c r="C6" s="2104"/>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103"/>
      <c r="C7" s="2104"/>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103"/>
      <c r="C8" s="2104"/>
      <c r="D8" s="1722"/>
      <c r="E8" s="1723" t="s">
        <v>4</v>
      </c>
      <c r="F8" s="2106" t="s">
        <v>5</v>
      </c>
      <c r="G8" s="2107"/>
      <c r="H8" s="2107"/>
      <c r="I8" s="2107"/>
      <c r="J8" s="2107"/>
      <c r="K8" s="2107"/>
      <c r="L8" s="2107"/>
      <c r="M8" s="2107"/>
      <c r="N8" s="1722"/>
      <c r="O8" s="1724" t="s">
        <v>4</v>
      </c>
      <c r="P8" s="2108" t="s">
        <v>6</v>
      </c>
      <c r="Q8" s="2109"/>
      <c r="R8" s="2109"/>
      <c r="S8" s="2109"/>
      <c r="T8" s="2109"/>
      <c r="U8" s="2109"/>
      <c r="V8" s="2109"/>
      <c r="W8" s="2109"/>
      <c r="X8" s="2109"/>
      <c r="Y8" s="1718"/>
      <c r="Z8" s="1719"/>
      <c r="AA8" s="1720"/>
      <c r="AB8" s="1720"/>
    </row>
    <row customHeight="1" ht="15">
      <c r="A9" s="1716"/>
      <c r="B9" s="2103"/>
      <c r="C9" s="2104"/>
      <c r="D9" s="1722"/>
      <c r="E9" s="1725" t="s">
        <v>4</v>
      </c>
      <c r="F9" s="2106" t="s">
        <v>7</v>
      </c>
      <c r="G9" s="2107"/>
      <c r="H9" s="2107"/>
      <c r="I9" s="2107"/>
      <c r="J9" s="2107"/>
      <c r="K9" s="2107"/>
      <c r="L9" s="2107"/>
      <c r="M9" s="2107"/>
      <c r="N9" s="1722"/>
      <c r="O9" s="1726" t="s">
        <v>4</v>
      </c>
      <c r="P9" s="2108" t="s">
        <v>8</v>
      </c>
      <c r="Q9" s="2109"/>
      <c r="R9" s="2109"/>
      <c r="S9" s="2109"/>
      <c r="T9" s="2109"/>
      <c r="U9" s="2109"/>
      <c r="V9" s="2109"/>
      <c r="W9" s="2109"/>
      <c r="X9" s="2109"/>
      <c r="Y9" s="1718"/>
      <c r="Z9" s="1719"/>
      <c r="AA9" s="1720"/>
      <c r="AB9" s="1720"/>
    </row>
    <row customHeight="1" ht="30">
      <c r="A10" s="1716"/>
      <c r="B10" s="2103"/>
      <c r="C10" s="2105"/>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110" t="s">
        <v>9</v>
      </c>
      <c r="C11" s="2111"/>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103"/>
      <c r="C12" s="2105"/>
      <c r="D12" s="1730"/>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8"/>
      <c r="Z12" s="1719"/>
      <c r="AA12" s="1720"/>
      <c r="AB12" s="1720"/>
    </row>
    <row customHeight="1" ht="15">
      <c r="A13" s="1716"/>
      <c r="B13" s="2110" t="s">
        <v>11</v>
      </c>
      <c r="C13" s="2111"/>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103"/>
      <c r="C14" s="2104"/>
      <c r="D14" s="1722"/>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8"/>
      <c r="Z14" s="1719"/>
      <c r="AA14" s="1720"/>
      <c r="AB14" s="1720"/>
    </row>
    <row customHeight="1" ht="16.5">
      <c r="A15" s="1716"/>
      <c r="B15" s="2112"/>
      <c r="C15" s="2113"/>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E7296-1DA7-320C-5C0B-57B1493DE97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47"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6"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59" t="s">
        <v>405</v>
      </c>
      <c r="F4" s="2259"/>
      <c r="G4" s="2260"/>
      <c r="H4" s="2260"/>
      <c r="I4" s="2261"/>
      <c r="J4" s="499"/>
      <c r="K4" s="461"/>
      <c r="L4" s="461"/>
      <c r="W4" s="455">
        <v>22</v>
      </c>
    </row>
    <row s="1643" customFormat="1" customHeight="1" ht="18">
      <c r="A5" s="767"/>
      <c r="D5" s="830"/>
      <c r="E5" s="2235" t="str">
        <f>IF(org=0,"Не определено",org)</f>
        <v>АО "ДГК"</v>
      </c>
      <c r="F5" s="2235"/>
      <c r="G5" s="2236"/>
      <c r="H5" s="2236"/>
      <c r="I5" s="2237"/>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29" t="s">
        <v>317</v>
      </c>
      <c r="F7" s="2229"/>
      <c r="G7" s="2230"/>
      <c r="H7" s="2230"/>
      <c r="I7" s="2230"/>
      <c r="J7" s="2230"/>
      <c r="K7" s="2230"/>
      <c r="L7" s="2244" t="s">
        <v>318</v>
      </c>
      <c r="W7" s="455">
        <v>14</v>
      </c>
    </row>
    <row customHeight="1" ht="48.29999999999999">
      <c r="D8" s="458"/>
      <c r="E8" s="481" t="s">
        <v>88</v>
      </c>
      <c r="F8" s="831"/>
      <c r="G8" s="473" t="s">
        <v>86</v>
      </c>
      <c r="H8" s="473" t="s">
        <v>87</v>
      </c>
      <c r="I8" s="422" t="s">
        <v>85</v>
      </c>
      <c r="J8" s="422" t="s">
        <v>406</v>
      </c>
      <c r="K8" s="422" t="s">
        <v>407</v>
      </c>
      <c r="L8" s="2244"/>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42" t="s">
        <v>408</v>
      </c>
      <c r="M10" s="515"/>
      <c r="N10" s="513"/>
      <c r="O10" s="513"/>
      <c r="P10" s="513"/>
      <c r="Q10" s="513"/>
      <c r="R10" s="513"/>
      <c r="S10" s="513"/>
      <c r="T10" s="513"/>
      <c r="U10" s="513"/>
      <c r="V10" s="513"/>
      <c r="W10" s="455">
        <v>0</v>
      </c>
    </row>
    <row customHeight="1" ht="15" hidden="1">
      <c r="A11" s="2120"/>
      <c r="B11" s="512"/>
      <c r="C11" s="512"/>
      <c r="D11" s="873"/>
      <c r="E11" s="521"/>
      <c r="F11" s="521"/>
      <c r="G11" s="521"/>
      <c r="H11" s="521"/>
      <c r="I11" s="522"/>
      <c r="J11" s="523"/>
      <c r="K11" s="721"/>
      <c r="L11" s="2262"/>
      <c r="M11" s="519"/>
      <c r="N11" s="519"/>
      <c r="O11" s="519"/>
      <c r="P11" s="524"/>
      <c r="Q11" s="524"/>
      <c r="R11" s="525"/>
      <c r="S11" s="519"/>
      <c r="T11" s="519"/>
      <c r="U11" s="519"/>
      <c r="V11" s="519"/>
      <c r="W11" s="455">
        <v>0</v>
      </c>
    </row>
    <row s="1620" customFormat="1" customHeight="1" ht="15">
      <c r="A12" s="2120"/>
      <c r="B12" s="512"/>
      <c r="C12" s="512"/>
      <c r="D12" s="874"/>
      <c r="E12" s="831">
        <v>1</v>
      </c>
      <c r="F12" s="872">
        <v>23</v>
      </c>
      <c r="G12" s="871"/>
      <c r="H12" s="801"/>
      <c r="I12" s="799"/>
      <c r="J12" s="528" t="s">
        <v>61</v>
      </c>
      <c r="K12" s="1172" t="s">
        <v>22</v>
      </c>
      <c r="L12" s="2262"/>
      <c r="M12" s="519"/>
      <c r="N12" s="519"/>
      <c r="O12" s="519"/>
      <c r="P12" s="524" t="s">
        <v>409</v>
      </c>
      <c r="Q12" s="524" t="s">
        <v>410</v>
      </c>
      <c r="R12" s="525" t="s">
        <v>411</v>
      </c>
      <c r="S12" s="519" t="s">
        <v>412</v>
      </c>
      <c r="T12" s="519"/>
      <c r="U12" s="519"/>
      <c r="V12" s="519"/>
      <c r="W12" s="488">
        <v>14</v>
      </c>
    </row>
    <row customHeight="1" ht="15.75">
      <c r="A13" s="2120"/>
      <c r="B13" s="513"/>
      <c r="D13" s="514"/>
      <c r="E13" s="413"/>
      <c r="F13" s="537"/>
      <c r="G13" s="424" t="s">
        <v>101</v>
      </c>
      <c r="H13" s="412"/>
      <c r="I13" s="412"/>
      <c r="J13" s="412"/>
      <c r="K13" s="411"/>
      <c r="L13" s="2243"/>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75A45-8F78-92B8-A0A7-CA335215DA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17">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12"/>
      <c r="Q3" s="360"/>
      <c r="R3" s="361"/>
      <c r="S3" s="1317">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17">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17">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420</v>
      </c>
      <c r="M6" s="545"/>
      <c r="P6" s="2278">
        <v>1</v>
      </c>
      <c r="Q6" s="1313"/>
      <c r="R6" s="364"/>
      <c r="S6" s="1317">
        <f>$I6</f>
      </c>
      <c r="T6" s="293" t="s">
        <v>421</v>
      </c>
      <c r="U6" s="308"/>
      <c r="V6" s="2266"/>
      <c r="W6" s="2267"/>
      <c r="X6" s="2267"/>
      <c r="Y6" s="2267"/>
      <c r="Z6" s="2267"/>
      <c r="AA6" s="2267"/>
      <c r="AB6" s="2267"/>
      <c r="AC6" s="2268"/>
      <c r="AD6" s="2266"/>
      <c r="AE6" s="2267"/>
      <c r="AF6" s="2267"/>
      <c r="AG6" s="2267"/>
      <c r="AH6" s="2267"/>
      <c r="AI6" s="2267"/>
      <c r="AJ6" s="2267"/>
      <c r="AK6" s="2267"/>
      <c r="AL6" s="2268"/>
      <c r="AM6" s="1266" t="s">
        <v>422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423</v>
      </c>
      <c r="M7" s="545"/>
      <c r="N7" s="1374"/>
      <c r="P7" s="2278"/>
      <c r="Q7" s="2278">
        <v>1</v>
      </c>
      <c r="R7" s="365"/>
      <c r="S7" s="1317">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426</v>
      </c>
      <c r="M8" s="545"/>
      <c r="N8" s="1374"/>
      <c r="O8" s="1374"/>
      <c r="P8" s="2278"/>
      <c r="Q8" s="2278"/>
      <c r="R8" s="365">
        <v>1</v>
      </c>
      <c r="S8" s="1317">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14"/>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13"/>
      <c r="R11" s="364"/>
      <c r="S11" s="1286"/>
      <c r="T11" s="295"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430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88"/>
      <c r="AI17" s="2289" t="s">
        <v>61</v>
      </c>
      <c r="AJ17" s="2288"/>
      <c r="AK17" s="2289" t="s">
        <v>61</v>
      </c>
      <c r="AS17" s="1163">
        <v>0</v>
      </c>
    </row>
    <row customHeight="1" ht="14.25" hidden="1">
      <c r="P18" s="1319"/>
      <c r="AD18" s="1368"/>
      <c r="AE18" s="1368"/>
      <c r="AF18" s="1368"/>
      <c r="AG18" s="336" t="str">
        <f>AH17&amp;"-"&amp;AJ17</f>
        <v>-</v>
      </c>
      <c r="AH18" s="2289"/>
      <c r="AI18" s="2289"/>
      <c r="AJ18" s="2289"/>
      <c r="AK18" s="2289"/>
      <c r="AS18" s="1163">
        <v>0</v>
      </c>
    </row>
    <row customHeight="1" ht="14.25" hidden="1">
      <c r="P19" s="1319"/>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163">
        <v>14</v>
      </c>
    </row>
    <row customHeight="1" ht="35.699999999999996">
      <c r="Q40" s="384"/>
      <c r="R40" s="384"/>
      <c r="S40" s="2294"/>
      <c r="T40" s="2230"/>
      <c r="U40" s="1039"/>
      <c r="V40" s="2281" t="s">
        <v>450</v>
      </c>
      <c r="W40" s="2632" t="s">
        <v>451</v>
      </c>
      <c r="X40" s="2283" t="s">
        <v>452</v>
      </c>
      <c r="Y40" s="2284"/>
      <c r="Z40" s="2283" t="s">
        <v>453</v>
      </c>
      <c r="AA40" s="2290"/>
      <c r="AB40" s="2284"/>
      <c r="AC40" s="2299"/>
      <c r="AD40" s="2281" t="s">
        <v>450</v>
      </c>
      <c r="AE40" s="2304" t="s">
        <v>451</v>
      </c>
      <c r="AF40" s="2283" t="s">
        <v>452</v>
      </c>
      <c r="AG40" s="2284"/>
      <c r="AH40" s="2283" t="s">
        <v>453</v>
      </c>
      <c r="AI40" s="2290"/>
      <c r="AJ40" s="2284"/>
      <c r="AK40" s="2299"/>
      <c r="AL40" s="2302"/>
      <c r="AM40" s="2148"/>
      <c r="AS40" s="1163">
        <v>34</v>
      </c>
    </row>
    <row customHeight="1" ht="35.699999999999996">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Q41" s="384"/>
      <c r="R41" s="384"/>
      <c r="S41" s="2294"/>
      <c r="T41" s="2230"/>
      <c r="U41" s="310"/>
      <c r="V41" s="2282"/>
      <c r="W41" s="2305"/>
      <c r="X41" s="1230" t="s">
        <v>461</v>
      </c>
      <c r="Y41" s="1230" t="s">
        <v>462</v>
      </c>
      <c r="Z41" s="1229" t="s">
        <v>463</v>
      </c>
      <c r="AA41" s="2291" t="s">
        <v>464</v>
      </c>
      <c r="AB41" s="2292"/>
      <c r="AC41" s="2300"/>
      <c r="AD41" s="2282"/>
      <c r="AE41" s="2305"/>
      <c r="AF41" s="1230" t="s">
        <v>461</v>
      </c>
      <c r="AG41" s="1230" t="s">
        <v>462</v>
      </c>
      <c r="AH41" s="1321" t="s">
        <v>463</v>
      </c>
      <c r="AI41" s="2291" t="s">
        <v>464</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264">
        <f>OFFSET(V42,0,-1)+1</f>
        <v>3</v>
      </c>
      <c r="W42" s="1264"/>
      <c r="X42" s="1264">
        <f>OFFSET(X42,0,-1)+1</f>
        <v>1</v>
      </c>
      <c r="Y42" s="1264">
        <f>OFFSET(Y42,0,-1)+1</f>
        <v>2</v>
      </c>
      <c r="Z42" s="1264">
        <f>OFFSET(Z42,0,-1)+1</f>
        <v>3</v>
      </c>
      <c r="AA42" s="2293">
        <f>OFFSET(AA42,0,-1)+1</f>
        <v>4</v>
      </c>
      <c r="AB42" s="2293"/>
      <c r="AC42" s="1264">
        <f>OFFSET(AC42,0,-2)+1</f>
        <v>5</v>
      </c>
      <c r="AD42" s="1320">
        <f>OFFSET(AD42,0,-1)+1</f>
        <v>6</v>
      </c>
      <c r="AE42" s="1320"/>
      <c r="AF42" s="1320">
        <f>OFFSET(AF42,0,-1)+1</f>
        <v>1</v>
      </c>
      <c r="AG42" s="1320">
        <f>OFFSET(AG42,0,-1)+1</f>
        <v>2</v>
      </c>
      <c r="AH42" s="1320">
        <f>OFFSET(AH42,0,-1)+1</f>
        <v>3</v>
      </c>
      <c r="AI42" s="2293">
        <f>OFFSET(AI42,0,-1)+1</f>
        <v>4</v>
      </c>
      <c r="AJ42" s="2293"/>
      <c r="AK42" s="1320">
        <f>OFFSET(AK42,0,-2)+1</f>
        <v>5</v>
      </c>
      <c r="AL42" s="1253">
        <f>OFFSET(AL42,0,-1)</f>
        <v>5</v>
      </c>
      <c r="AM42" s="1264">
        <f>OFFSET(AM42,0,-1)+1</f>
        <v>6</v>
      </c>
      <c r="AN42" s="519"/>
      <c r="AO42" s="519"/>
      <c r="AP42" s="519"/>
      <c r="AQ42" s="519"/>
      <c r="AR42" s="519"/>
      <c r="AS42" s="504">
        <v>0</v>
      </c>
    </row>
    <row customHeight="1" ht="24">
      <c r="A43" s="1371" t="s">
        <v>175</v>
      </c>
      <c r="B43" s="1371"/>
      <c r="C43" s="1371"/>
      <c r="D43" s="1371"/>
      <c r="E43" s="2279">
        <v>1</v>
      </c>
      <c r="F43" s="1371"/>
      <c r="G43" s="1371"/>
      <c r="H43" s="1371"/>
      <c r="I43" s="1371"/>
      <c r="J43" s="1371"/>
      <c r="K43" s="1371"/>
      <c r="L43" s="1372"/>
      <c r="M43" s="1373"/>
      <c r="N43" s="1373"/>
      <c r="O43" s="1373"/>
      <c r="P43" s="369"/>
      <c r="Q43" s="368"/>
      <c r="R43" s="363"/>
      <c r="S43" s="1232">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175</v>
      </c>
      <c r="B44" s="1371" t="s">
        <v>176</v>
      </c>
      <c r="C44" s="1371"/>
      <c r="D44" s="1371"/>
      <c r="E44" s="2280"/>
      <c r="F44" s="2279">
        <v>1</v>
      </c>
      <c r="G44" s="1371"/>
      <c r="H44" s="1371"/>
      <c r="I44" s="1371"/>
      <c r="J44" s="1371"/>
      <c r="K44" s="1371"/>
      <c r="L44" s="1372"/>
      <c r="M44" s="1373"/>
      <c r="N44" s="1373"/>
      <c r="O44" s="1373"/>
      <c r="P44" s="530"/>
      <c r="Q44" s="360"/>
      <c r="R44" s="361"/>
      <c r="S44" s="1232"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23</v>
      </c>
    </row>
    <row customHeight="1" ht="24">
      <c r="A45" s="1371" t="s">
        <v>175</v>
      </c>
      <c r="B45" s="1371" t="s">
        <v>176</v>
      </c>
      <c r="C45" s="1371" t="s">
        <v>177</v>
      </c>
      <c r="D45" s="1371"/>
      <c r="E45" s="2280"/>
      <c r="F45" s="2280"/>
      <c r="G45" s="2279">
        <v>1</v>
      </c>
      <c r="H45" s="1371"/>
      <c r="I45" s="1371"/>
      <c r="J45" s="1371"/>
      <c r="K45" s="1371"/>
      <c r="L45" s="1372"/>
      <c r="M45" s="1373"/>
      <c r="N45" s="1373"/>
      <c r="O45" s="1373"/>
      <c r="P45" s="362"/>
      <c r="Q45" s="360"/>
      <c r="R45" s="361"/>
      <c r="S45" s="1232"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4">
      <c r="A46" s="1371" t="s">
        <v>175</v>
      </c>
      <c r="B46" s="1371" t="s">
        <v>176</v>
      </c>
      <c r="C46" s="1371" t="s">
        <v>177</v>
      </c>
      <c r="D46" s="1371" t="s">
        <v>178</v>
      </c>
      <c r="E46" s="2280"/>
      <c r="F46" s="2280"/>
      <c r="G46" s="2280"/>
      <c r="H46" s="2279">
        <v>1</v>
      </c>
      <c r="I46" s="1371"/>
      <c r="J46" s="1371"/>
      <c r="K46" s="1371"/>
      <c r="L46" s="1372"/>
      <c r="M46" s="1373"/>
      <c r="N46" s="1373"/>
      <c r="O46" s="1373"/>
      <c r="P46" s="362"/>
      <c r="Q46" s="360"/>
      <c r="R46" s="361"/>
      <c r="S46" s="1232"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23</v>
      </c>
    </row>
    <row customHeight="1" ht="49.5">
      <c r="A47" s="1371" t="s">
        <v>175</v>
      </c>
      <c r="B47" s="1371" t="s">
        <v>176</v>
      </c>
      <c r="C47" s="1371" t="s">
        <v>177</v>
      </c>
      <c r="D47" s="1371" t="s">
        <v>178</v>
      </c>
      <c r="E47" s="2280"/>
      <c r="F47" s="2280"/>
      <c r="G47" s="2280"/>
      <c r="H47" s="2280"/>
      <c r="I47" s="2277" t="str">
        <f>S46&amp;".1"</f>
        <v>....1</v>
      </c>
      <c r="J47" s="1371"/>
      <c r="K47" s="1371"/>
      <c r="L47" s="1372" t="s">
        <v>420</v>
      </c>
      <c r="P47" s="2278">
        <v>1</v>
      </c>
      <c r="Q47" s="1228"/>
      <c r="R47" s="364"/>
      <c r="S47" s="1232" t="str">
        <f>$I47</f>
        <v>....1</v>
      </c>
      <c r="T47" s="293" t="s">
        <v>421</v>
      </c>
      <c r="U47" s="308"/>
      <c r="V47" s="2266"/>
      <c r="W47" s="2267"/>
      <c r="X47" s="2267"/>
      <c r="Y47" s="2267"/>
      <c r="Z47" s="2267"/>
      <c r="AA47" s="2267"/>
      <c r="AB47" s="2267"/>
      <c r="AC47" s="2268"/>
      <c r="AD47" s="2266"/>
      <c r="AE47" s="2267"/>
      <c r="AF47" s="2267"/>
      <c r="AG47" s="2267"/>
      <c r="AH47" s="2267"/>
      <c r="AI47" s="2267"/>
      <c r="AJ47" s="2267"/>
      <c r="AK47" s="2267"/>
      <c r="AL47" s="2268"/>
      <c r="AM47" s="1266" t="s">
        <v>422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175</v>
      </c>
      <c r="B48" s="1371" t="s">
        <v>176</v>
      </c>
      <c r="C48" s="1371" t="s">
        <v>177</v>
      </c>
      <c r="D48" s="1371" t="s">
        <v>178</v>
      </c>
      <c r="E48" s="2280"/>
      <c r="F48" s="2280"/>
      <c r="G48" s="2280"/>
      <c r="H48" s="2280"/>
      <c r="I48" s="2307"/>
      <c r="J48" s="2277" t="str">
        <f>I47&amp;".1"</f>
        <v>....1.1</v>
      </c>
      <c r="K48" s="1371"/>
      <c r="L48" s="1372" t="s">
        <v>423</v>
      </c>
      <c r="P48" s="2278"/>
      <c r="Q48" s="2278">
        <v>1</v>
      </c>
      <c r="R48" s="365"/>
      <c r="S48" s="1232" t="str">
        <f>$J48</f>
        <v>....1.1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23</v>
      </c>
    </row>
    <row customHeight="1" ht="24">
      <c r="A49" s="1371" t="s">
        <v>175</v>
      </c>
      <c r="B49" s="1371" t="s">
        <v>176</v>
      </c>
      <c r="C49" s="1371" t="s">
        <v>177</v>
      </c>
      <c r="D49" s="1371" t="s">
        <v>178</v>
      </c>
      <c r="E49" s="2280"/>
      <c r="F49" s="2280"/>
      <c r="G49" s="2280"/>
      <c r="H49" s="2280"/>
      <c r="I49" s="2307"/>
      <c r="J49" s="2307"/>
      <c r="K49" s="2277" t="str">
        <f>J48&amp;".1"</f>
        <v>....1.1.1</v>
      </c>
      <c r="L49" s="1372" t="s">
        <v>426</v>
      </c>
      <c r="P49" s="2278"/>
      <c r="Q49" s="2278"/>
      <c r="R49" s="365">
        <v>1</v>
      </c>
      <c r="S49" s="1232"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427</v>
      </c>
      <c r="AN49" s="519">
        <f>STRCHECKDATE(V50:AL50)</f>
      </c>
      <c r="AO49" s="508"/>
      <c r="AP49" s="508" t="str">
        <f>IF(T49="","",T49)</f>
        <v/>
      </c>
      <c r="AQ49" s="508"/>
      <c r="AR49" s="508"/>
      <c r="AS49" s="1163">
        <v>23</v>
      </c>
    </row>
    <row customHeight="1" ht="1.05">
      <c r="A50" s="1371" t="s">
        <v>175</v>
      </c>
      <c r="B50" s="1371" t="s">
        <v>176</v>
      </c>
      <c r="C50" s="1371" t="s">
        <v>177</v>
      </c>
      <c r="D50" s="1371" t="s">
        <v>178</v>
      </c>
      <c r="E50" s="2280"/>
      <c r="F50" s="2280"/>
      <c r="G50" s="2280"/>
      <c r="H50" s="2280"/>
      <c r="I50" s="2307"/>
      <c r="J50" s="2307"/>
      <c r="K50" s="2277"/>
      <c r="L50" s="1372"/>
      <c r="P50" s="2278"/>
      <c r="Q50" s="2278"/>
      <c r="R50" s="365"/>
      <c r="S50" s="1231"/>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175</v>
      </c>
      <c r="B51" s="1371" t="s">
        <v>176</v>
      </c>
      <c r="C51" s="1371" t="s">
        <v>177</v>
      </c>
      <c r="D51" s="1371" t="s">
        <v>178</v>
      </c>
      <c r="E51" s="2280"/>
      <c r="F51" s="2280"/>
      <c r="G51" s="2280"/>
      <c r="H51" s="2280"/>
      <c r="I51" s="2307"/>
      <c r="J51" s="2277"/>
      <c r="K51" s="1371"/>
      <c r="L51" s="1372"/>
      <c r="P51" s="2278"/>
      <c r="Q51" s="2278"/>
      <c r="R51" s="364"/>
      <c r="S51" s="1286"/>
      <c r="T51" s="296"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175</v>
      </c>
      <c r="B52" s="1371" t="s">
        <v>176</v>
      </c>
      <c r="C52" s="1371" t="s">
        <v>177</v>
      </c>
      <c r="D52" s="1371" t="s">
        <v>178</v>
      </c>
      <c r="E52" s="2280"/>
      <c r="F52" s="2280"/>
      <c r="G52" s="2280"/>
      <c r="H52" s="2280"/>
      <c r="I52" s="2277"/>
      <c r="J52" s="1371"/>
      <c r="K52" s="1371"/>
      <c r="L52" s="1372"/>
      <c r="P52" s="2278"/>
      <c r="Q52" s="1228"/>
      <c r="R52" s="364"/>
      <c r="S52" s="1286"/>
      <c r="T52" s="295"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175</v>
      </c>
      <c r="B53" s="1371" t="s">
        <v>176</v>
      </c>
      <c r="C53" s="1371" t="s">
        <v>177</v>
      </c>
      <c r="D53" s="1371" t="s">
        <v>178</v>
      </c>
      <c r="E53" s="2280"/>
      <c r="F53" s="2280"/>
      <c r="G53" s="2280"/>
      <c r="H53" s="2279"/>
      <c r="I53" s="1371"/>
      <c r="J53" s="1371"/>
      <c r="K53" s="1371"/>
      <c r="L53" s="1372"/>
      <c r="M53" s="1373"/>
      <c r="N53" s="1373"/>
      <c r="O53" s="545"/>
      <c r="P53" s="368"/>
      <c r="Q53" s="383"/>
      <c r="R53" s="363"/>
      <c r="S53" s="1286"/>
      <c r="T53" s="373" t="s">
        <v>430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175</v>
      </c>
      <c r="B54" s="1351" t="s">
        <v>176</v>
      </c>
      <c r="C54" s="1351" t="s">
        <v>177</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175</v>
      </c>
      <c r="B55" s="1351" t="s">
        <v>176</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175</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7.2">
      <c r="O60" s="545"/>
      <c r="P60" s="1311"/>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64</v>
      </c>
    </row>
    <row customHeight="1" ht="14.699999999999998">
      <c r="O61" s="545"/>
      <c r="AS61" s="1163">
        <v>14</v>
      </c>
    </row>
    <row customHeight="1" ht="18.75">
      <c r="O62" s="545"/>
      <c r="P62" s="1336"/>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P63" s="1336"/>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P64" s="1336"/>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4A7F4-2329-C034-6DF9-E18BA92B45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420</v>
      </c>
      <c r="M6" s="545"/>
      <c r="P6" s="2278">
        <v>1</v>
      </c>
      <c r="Q6" s="1339"/>
      <c r="R6" s="364"/>
      <c r="S6" s="1344">
        <f>$I6</f>
      </c>
      <c r="T6" s="293" t="s">
        <v>421</v>
      </c>
      <c r="U6" s="308"/>
      <c r="V6" s="2266"/>
      <c r="W6" s="2267"/>
      <c r="X6" s="2267"/>
      <c r="Y6" s="2267"/>
      <c r="Z6" s="2267"/>
      <c r="AA6" s="2267"/>
      <c r="AB6" s="2267"/>
      <c r="AC6" s="2268"/>
      <c r="AD6" s="2266"/>
      <c r="AE6" s="2267"/>
      <c r="AF6" s="2267"/>
      <c r="AG6" s="2267"/>
      <c r="AH6" s="2267"/>
      <c r="AI6" s="2267"/>
      <c r="AJ6" s="2267"/>
      <c r="AK6" s="2267"/>
      <c r="AL6" s="2268"/>
      <c r="AM6" s="1266" t="s">
        <v>422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423</v>
      </c>
      <c r="M7" s="545"/>
      <c r="N7" s="1374"/>
      <c r="P7" s="2278"/>
      <c r="Q7" s="2278">
        <v>1</v>
      </c>
      <c r="R7" s="365"/>
      <c r="S7" s="1344">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426</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430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14</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163">
        <v>14</v>
      </c>
    </row>
    <row customHeight="1" ht="35.699999999999996">
      <c r="Q40" s="384"/>
      <c r="R40" s="384"/>
      <c r="S40" s="2294"/>
      <c r="T40" s="2230"/>
      <c r="U40" s="1039"/>
      <c r="V40" s="2281" t="s">
        <v>450</v>
      </c>
      <c r="W40" s="2304" t="s">
        <v>451</v>
      </c>
      <c r="X40" s="2283" t="s">
        <v>452</v>
      </c>
      <c r="Y40" s="2284"/>
      <c r="Z40" s="2283" t="s">
        <v>466</v>
      </c>
      <c r="AA40" s="2290"/>
      <c r="AB40" s="2284"/>
      <c r="AC40" s="2299"/>
      <c r="AD40" s="2281" t="s">
        <v>450</v>
      </c>
      <c r="AE40" s="2304" t="s">
        <v>451</v>
      </c>
      <c r="AF40" s="2283" t="s">
        <v>452</v>
      </c>
      <c r="AG40" s="2284"/>
      <c r="AH40" s="2283" t="s">
        <v>453</v>
      </c>
      <c r="AI40" s="2290"/>
      <c r="AJ40" s="2284"/>
      <c r="AK40" s="2299"/>
      <c r="AL40" s="2302"/>
      <c r="AM40" s="2148"/>
      <c r="AS40" s="1163">
        <v>34</v>
      </c>
    </row>
    <row customHeight="1" ht="35.699999999999996">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Q41" s="384"/>
      <c r="R41" s="384"/>
      <c r="S41" s="2294"/>
      <c r="T41" s="2230"/>
      <c r="U41" s="310"/>
      <c r="V41" s="2282"/>
      <c r="W41" s="2305"/>
      <c r="X41" s="1230" t="s">
        <v>461</v>
      </c>
      <c r="Y41" s="1230" t="s">
        <v>462</v>
      </c>
      <c r="Z41" s="1346" t="s">
        <v>463</v>
      </c>
      <c r="AA41" s="2291" t="s">
        <v>464</v>
      </c>
      <c r="AB41" s="2292"/>
      <c r="AC41" s="2300"/>
      <c r="AD41" s="2282"/>
      <c r="AE41" s="2305"/>
      <c r="AF41" s="1230" t="s">
        <v>461</v>
      </c>
      <c r="AG41" s="1230" t="s">
        <v>462</v>
      </c>
      <c r="AH41" s="1346" t="s">
        <v>463</v>
      </c>
      <c r="AI41" s="2291" t="s">
        <v>464</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180</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180</v>
      </c>
      <c r="B44" s="1371" t="s">
        <v>181</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21</v>
      </c>
    </row>
    <row customHeight="1" ht="24">
      <c r="A45" s="1371" t="s">
        <v>180</v>
      </c>
      <c r="B45" s="1371" t="s">
        <v>181</v>
      </c>
      <c r="C45" s="1371" t="s">
        <v>182</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2.049999999999997">
      <c r="A46" s="1371" t="s">
        <v>180</v>
      </c>
      <c r="B46" s="1371" t="s">
        <v>181</v>
      </c>
      <c r="C46" s="1371" t="s">
        <v>182</v>
      </c>
      <c r="D46" s="1371" t="s">
        <v>183</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21</v>
      </c>
    </row>
    <row customHeight="1" ht="49.5">
      <c r="A47" s="1371" t="s">
        <v>180</v>
      </c>
      <c r="B47" s="1371" t="s">
        <v>181</v>
      </c>
      <c r="C47" s="1371" t="s">
        <v>182</v>
      </c>
      <c r="D47" s="1371" t="s">
        <v>183</v>
      </c>
      <c r="E47" s="2280"/>
      <c r="F47" s="2280"/>
      <c r="G47" s="2280"/>
      <c r="H47" s="2280"/>
      <c r="I47" s="2277" t="str">
        <f>S46&amp;".1"</f>
        <v>....1</v>
      </c>
      <c r="J47" s="1371"/>
      <c r="K47" s="1371"/>
      <c r="L47" s="1372" t="s">
        <v>420</v>
      </c>
      <c r="P47" s="2278">
        <v>1</v>
      </c>
      <c r="Q47" s="1339"/>
      <c r="R47" s="364"/>
      <c r="S47" s="1344" t="str">
        <f>$I47</f>
        <v>....1</v>
      </c>
      <c r="T47" s="293" t="s">
        <v>421</v>
      </c>
      <c r="U47" s="308"/>
      <c r="V47" s="2266"/>
      <c r="W47" s="2267"/>
      <c r="X47" s="2267"/>
      <c r="Y47" s="2267"/>
      <c r="Z47" s="2267"/>
      <c r="AA47" s="2267"/>
      <c r="AB47" s="2267"/>
      <c r="AC47" s="2268"/>
      <c r="AD47" s="2266"/>
      <c r="AE47" s="2267"/>
      <c r="AF47" s="2267"/>
      <c r="AG47" s="2267"/>
      <c r="AH47" s="2267"/>
      <c r="AI47" s="2267"/>
      <c r="AJ47" s="2267"/>
      <c r="AK47" s="2267"/>
      <c r="AL47" s="2268"/>
      <c r="AM47" s="1266" t="s">
        <v>422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180</v>
      </c>
      <c r="B48" s="1371" t="s">
        <v>181</v>
      </c>
      <c r="C48" s="1371" t="s">
        <v>182</v>
      </c>
      <c r="D48" s="1371" t="s">
        <v>183</v>
      </c>
      <c r="E48" s="2280"/>
      <c r="F48" s="2280"/>
      <c r="G48" s="2280"/>
      <c r="H48" s="2280"/>
      <c r="I48" s="2307"/>
      <c r="J48" s="2277" t="str">
        <f>I47&amp;".1"</f>
        <v>....1.1</v>
      </c>
      <c r="K48" s="1371"/>
      <c r="L48" s="1372" t="s">
        <v>423</v>
      </c>
      <c r="P48" s="2278"/>
      <c r="Q48" s="2278">
        <v>1</v>
      </c>
      <c r="R48" s="365"/>
      <c r="S48" s="1344" t="str">
        <f>$J48</f>
        <v>....1.1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21</v>
      </c>
    </row>
    <row customHeight="1" ht="22.049999999999997">
      <c r="A49" s="1371" t="s">
        <v>180</v>
      </c>
      <c r="B49" s="1371" t="s">
        <v>181</v>
      </c>
      <c r="C49" s="1371" t="s">
        <v>182</v>
      </c>
      <c r="D49" s="1371" t="s">
        <v>183</v>
      </c>
      <c r="E49" s="2280"/>
      <c r="F49" s="2280"/>
      <c r="G49" s="2280"/>
      <c r="H49" s="2280"/>
      <c r="I49" s="2307"/>
      <c r="J49" s="2307"/>
      <c r="K49" s="2277" t="str">
        <f>J48&amp;".1"</f>
        <v>....1.1.1</v>
      </c>
      <c r="L49" s="1372" t="s">
        <v>426</v>
      </c>
      <c r="P49" s="2278"/>
      <c r="Q49" s="2278"/>
      <c r="R49" s="365">
        <v>1</v>
      </c>
      <c r="S49" s="1344"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427</v>
      </c>
      <c r="AN49" s="519">
        <f>STRCHECKDATE(V50:AL50)</f>
      </c>
      <c r="AO49" s="508"/>
      <c r="AP49" s="508" t="str">
        <f>IF(T49="","",T49)</f>
        <v/>
      </c>
      <c r="AQ49" s="508"/>
      <c r="AR49" s="508"/>
      <c r="AS49" s="1163">
        <v>21</v>
      </c>
    </row>
    <row customHeight="1" ht="1.05">
      <c r="A50" s="1371" t="s">
        <v>180</v>
      </c>
      <c r="B50" s="1371" t="s">
        <v>181</v>
      </c>
      <c r="C50" s="1371" t="s">
        <v>182</v>
      </c>
      <c r="D50" s="1371" t="s">
        <v>183</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180</v>
      </c>
      <c r="B51" s="1371" t="s">
        <v>181</v>
      </c>
      <c r="C51" s="1371" t="s">
        <v>182</v>
      </c>
      <c r="D51" s="1371" t="s">
        <v>183</v>
      </c>
      <c r="E51" s="2280"/>
      <c r="F51" s="2280"/>
      <c r="G51" s="2280"/>
      <c r="H51" s="2280"/>
      <c r="I51" s="2307"/>
      <c r="J51" s="2277"/>
      <c r="K51" s="1371"/>
      <c r="L51" s="1372"/>
      <c r="P51" s="2278"/>
      <c r="Q51" s="2278"/>
      <c r="R51" s="364"/>
      <c r="S51" s="1286"/>
      <c r="T51" s="296"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180</v>
      </c>
      <c r="B52" s="1371" t="s">
        <v>181</v>
      </c>
      <c r="C52" s="1371" t="s">
        <v>182</v>
      </c>
      <c r="D52" s="1371" t="s">
        <v>183</v>
      </c>
      <c r="E52" s="2280"/>
      <c r="F52" s="2280"/>
      <c r="G52" s="2280"/>
      <c r="H52" s="2280"/>
      <c r="I52" s="2277"/>
      <c r="J52" s="1371"/>
      <c r="K52" s="1371"/>
      <c r="L52" s="1372"/>
      <c r="P52" s="2278"/>
      <c r="Q52" s="1339"/>
      <c r="R52" s="364"/>
      <c r="S52" s="1286"/>
      <c r="T52" s="295"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180</v>
      </c>
      <c r="B53" s="1371" t="s">
        <v>181</v>
      </c>
      <c r="C53" s="1371" t="s">
        <v>182</v>
      </c>
      <c r="D53" s="1371" t="s">
        <v>183</v>
      </c>
      <c r="E53" s="2280"/>
      <c r="F53" s="2280"/>
      <c r="G53" s="2280"/>
      <c r="H53" s="2279"/>
      <c r="I53" s="1371"/>
      <c r="J53" s="1371"/>
      <c r="K53" s="1371"/>
      <c r="L53" s="1372"/>
      <c r="M53" s="1373"/>
      <c r="N53" s="1373"/>
      <c r="O53" s="545"/>
      <c r="P53" s="368"/>
      <c r="Q53" s="383"/>
      <c r="R53" s="363"/>
      <c r="S53" s="1286"/>
      <c r="T53" s="373" t="s">
        <v>430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180</v>
      </c>
      <c r="B54" s="1351" t="s">
        <v>181</v>
      </c>
      <c r="C54" s="1351" t="s">
        <v>182</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180</v>
      </c>
      <c r="B55" s="1351" t="s">
        <v>181</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180</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65.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62</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29.2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06A28-FBD9-C7CB-1F48-6856E6B133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420</v>
      </c>
      <c r="M6" s="1643"/>
      <c r="P6" s="2278">
        <v>1</v>
      </c>
      <c r="Q6" s="1959"/>
      <c r="R6" s="364"/>
      <c r="S6" s="1963">
        <f>$I6</f>
      </c>
      <c r="T6" s="293" t="s">
        <v>421</v>
      </c>
      <c r="U6" s="308"/>
      <c r="V6" s="2266"/>
      <c r="W6" s="2267"/>
      <c r="X6" s="2267"/>
      <c r="Y6" s="2267"/>
      <c r="Z6" s="2267"/>
      <c r="AA6" s="2267"/>
      <c r="AB6" s="2267"/>
      <c r="AC6" s="2268"/>
      <c r="AD6" s="2266"/>
      <c r="AE6" s="2267"/>
      <c r="AF6" s="2267"/>
      <c r="AG6" s="2267"/>
      <c r="AH6" s="2267"/>
      <c r="AI6" s="2267"/>
      <c r="AJ6" s="2267"/>
      <c r="AK6" s="2267"/>
      <c r="AL6" s="2268"/>
      <c r="AM6" s="1266" t="s">
        <v>422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423</v>
      </c>
      <c r="M7" s="1643"/>
      <c r="N7" s="1639"/>
      <c r="P7" s="2278"/>
      <c r="Q7" s="2278">
        <v>1</v>
      </c>
      <c r="R7" s="365"/>
      <c r="S7" s="1963">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426</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428</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429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430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311"/>
      <c r="F13" s="2311"/>
      <c r="G13" s="2310"/>
      <c r="H13" s="1382"/>
      <c r="I13" s="1382"/>
      <c r="J13" s="1382"/>
      <c r="K13" s="1382"/>
      <c r="L13" s="1385"/>
      <c r="M13" s="1386"/>
      <c r="N13" s="1386"/>
      <c r="O13" s="359"/>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311"/>
      <c r="F14" s="2310"/>
      <c r="G14" s="1382"/>
      <c r="H14" s="1382"/>
      <c r="I14" s="1382"/>
      <c r="J14" s="1382"/>
      <c r="K14" s="1382"/>
      <c r="L14" s="1385"/>
      <c r="M14" s="1387"/>
      <c r="N14" s="1387"/>
      <c r="O14" s="35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310"/>
      <c r="F15" s="1382"/>
      <c r="G15" s="1382"/>
      <c r="H15" s="1382"/>
      <c r="I15" s="1382"/>
      <c r="J15" s="1382"/>
      <c r="K15" s="1382"/>
      <c r="L15" s="1385"/>
      <c r="M15" s="1387"/>
      <c r="N15" s="1387"/>
      <c r="O15" s="35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434</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435</v>
      </c>
      <c r="P22" s="1370"/>
      <c r="Q22" s="1379"/>
      <c r="R22" s="1379"/>
      <c r="S22" s="737"/>
      <c r="T22" s="1374" t="s">
        <v>436</v>
      </c>
      <c r="AA22" s="603" t="s">
        <v>437</v>
      </c>
      <c r="AC22" s="603" t="s">
        <v>438</v>
      </c>
      <c r="AD22" s="1374" t="s">
        <v>436</v>
      </c>
      <c r="AI22" s="603" t="s">
        <v>439</v>
      </c>
      <c r="AK22" s="603" t="s">
        <v>438</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440</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441</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442</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443</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444</v>
      </c>
      <c r="AD36" s="1643"/>
      <c r="AE36" s="1643"/>
      <c r="AF36" s="1643"/>
      <c r="AG36" s="1643"/>
      <c r="AH36" s="1643"/>
      <c r="AI36" s="1643"/>
      <c r="AJ36" s="1643"/>
      <c r="AK36" s="1650" t="s">
        <v>444</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639">
        <v>14</v>
      </c>
    </row>
    <row customHeight="1" ht="14.699999999999998">
      <c r="Q39" s="384"/>
      <c r="R39" s="384"/>
      <c r="S39" s="2294" t="s">
        <v>88</v>
      </c>
      <c r="T39" s="2230" t="s">
        <v>445</v>
      </c>
      <c r="U39" s="345"/>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639">
        <v>14</v>
      </c>
    </row>
    <row customHeight="1" ht="35.699999999999996">
      <c r="Q40" s="384"/>
      <c r="R40" s="384"/>
      <c r="S40" s="2294"/>
      <c r="T40" s="2230"/>
      <c r="U40" s="1039"/>
      <c r="V40" s="2281" t="s">
        <v>450</v>
      </c>
      <c r="W40" s="2304" t="s">
        <v>451</v>
      </c>
      <c r="X40" s="2283" t="s">
        <v>452</v>
      </c>
      <c r="Y40" s="2284"/>
      <c r="Z40" s="2283" t="s">
        <v>466</v>
      </c>
      <c r="AA40" s="2290"/>
      <c r="AB40" s="2284"/>
      <c r="AC40" s="2299"/>
      <c r="AD40" s="2281" t="s">
        <v>450</v>
      </c>
      <c r="AE40" s="2304" t="s">
        <v>451</v>
      </c>
      <c r="AF40" s="2283" t="s">
        <v>452</v>
      </c>
      <c r="AG40" s="2284"/>
      <c r="AH40" s="2283" t="s">
        <v>453</v>
      </c>
      <c r="AI40" s="2290"/>
      <c r="AJ40" s="2284"/>
      <c r="AK40" s="2299"/>
      <c r="AL40" s="2302"/>
      <c r="AM40" s="2148"/>
      <c r="AS40" s="1639">
        <v>34</v>
      </c>
    </row>
    <row customHeight="1" ht="35.699999999999996">
      <c r="A41" s="1274"/>
      <c r="B41" s="1274" t="s">
        <v>154</v>
      </c>
      <c r="C41" s="1274" t="s">
        <v>155</v>
      </c>
      <c r="D41" s="1274" t="s">
        <v>156</v>
      </c>
      <c r="E41" s="1318" t="s">
        <v>454</v>
      </c>
      <c r="F41" s="1318" t="s">
        <v>455</v>
      </c>
      <c r="G41" s="1318" t="s">
        <v>456</v>
      </c>
      <c r="H41" s="1318" t="s">
        <v>457</v>
      </c>
      <c r="I41" s="1318" t="s">
        <v>458</v>
      </c>
      <c r="J41" s="1318" t="s">
        <v>459</v>
      </c>
      <c r="K41" s="1318" t="s">
        <v>460</v>
      </c>
      <c r="L41" s="1318" t="s">
        <v>435</v>
      </c>
      <c r="Q41" s="384"/>
      <c r="R41" s="384"/>
      <c r="S41" s="2294"/>
      <c r="T41" s="2230"/>
      <c r="U41" s="310"/>
      <c r="V41" s="2282"/>
      <c r="W41" s="2305"/>
      <c r="X41" s="1943" t="s">
        <v>461</v>
      </c>
      <c r="Y41" s="1943" t="s">
        <v>462</v>
      </c>
      <c r="Z41" s="1943" t="s">
        <v>463</v>
      </c>
      <c r="AA41" s="2291" t="s">
        <v>464</v>
      </c>
      <c r="AB41" s="2292"/>
      <c r="AC41" s="2300"/>
      <c r="AD41" s="2282"/>
      <c r="AE41" s="2305"/>
      <c r="AF41" s="1943" t="s">
        <v>461</v>
      </c>
      <c r="AG41" s="1943" t="s">
        <v>462</v>
      </c>
      <c r="AH41" s="1943" t="s">
        <v>463</v>
      </c>
      <c r="AI41" s="2291" t="s">
        <v>464</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118</v>
      </c>
      <c r="T42" s="1263" t="s">
        <v>102</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229</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229</v>
      </c>
      <c r="B44" s="1275" t="s">
        <v>230</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1632"/>
      <c r="AP44" s="1632" t="str">
        <f>IF(T44="","",T44)</f>
        <v>Территория действия тарифа</v>
      </c>
      <c r="AQ44" s="1632"/>
      <c r="AR44" s="1632"/>
      <c r="AS44" s="1639">
        <v>21</v>
      </c>
    </row>
    <row customHeight="1" ht="24">
      <c r="A45" s="1275" t="s">
        <v>229</v>
      </c>
      <c r="B45" s="1275" t="s">
        <v>230</v>
      </c>
      <c r="C45" s="1275" t="s">
        <v>231</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1632"/>
      <c r="AP45" s="1632" t="str">
        <f>IF(T45="","",T45)</f>
        <v>Наименование системы теплоснабжения </v>
      </c>
      <c r="AQ45" s="1632"/>
      <c r="AR45" s="1632"/>
      <c r="AS45" s="1639">
        <v>23</v>
      </c>
    </row>
    <row customHeight="1" ht="22.049999999999997">
      <c r="A46" s="1275" t="s">
        <v>229</v>
      </c>
      <c r="B46" s="1275" t="s">
        <v>230</v>
      </c>
      <c r="C46" s="1275" t="s">
        <v>231</v>
      </c>
      <c r="D46" s="1275" t="s">
        <v>232</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1632"/>
      <c r="AP46" s="1632" t="str">
        <f>IF(T46="","",T46)</f>
        <v>Источник тепловой энергии  </v>
      </c>
      <c r="AQ46" s="1632"/>
      <c r="AR46" s="1632"/>
      <c r="AS46" s="1639">
        <v>21</v>
      </c>
    </row>
    <row customHeight="1" ht="49.5">
      <c r="A47" s="1275" t="s">
        <v>229</v>
      </c>
      <c r="B47" s="1275" t="s">
        <v>230</v>
      </c>
      <c r="C47" s="1275" t="s">
        <v>231</v>
      </c>
      <c r="D47" s="1275" t="s">
        <v>232</v>
      </c>
      <c r="E47" s="2311"/>
      <c r="F47" s="2311"/>
      <c r="G47" s="2311"/>
      <c r="H47" s="2311"/>
      <c r="I47" s="2148" t="str">
        <f>S46&amp;".1"</f>
        <v>....1</v>
      </c>
      <c r="J47" s="1275"/>
      <c r="K47" s="1275"/>
      <c r="L47" s="1318" t="s">
        <v>420</v>
      </c>
      <c r="P47" s="2278">
        <v>1</v>
      </c>
      <c r="Q47" s="1959"/>
      <c r="R47" s="364"/>
      <c r="S47" s="1963" t="str">
        <f>$I47</f>
        <v>....1</v>
      </c>
      <c r="T47" s="293" t="s">
        <v>421</v>
      </c>
      <c r="U47" s="308"/>
      <c r="V47" s="2266"/>
      <c r="W47" s="2267"/>
      <c r="X47" s="2267"/>
      <c r="Y47" s="2267"/>
      <c r="Z47" s="2267"/>
      <c r="AA47" s="2267"/>
      <c r="AB47" s="2267"/>
      <c r="AC47" s="2268"/>
      <c r="AD47" s="2266"/>
      <c r="AE47" s="2267"/>
      <c r="AF47" s="2267"/>
      <c r="AG47" s="2267"/>
      <c r="AH47" s="2267"/>
      <c r="AI47" s="2267"/>
      <c r="AJ47" s="2267"/>
      <c r="AK47" s="2267"/>
      <c r="AL47" s="2268"/>
      <c r="AM47" s="1266" t="s">
        <v>422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229</v>
      </c>
      <c r="B48" s="1275" t="s">
        <v>230</v>
      </c>
      <c r="C48" s="1275" t="s">
        <v>231</v>
      </c>
      <c r="D48" s="1275" t="s">
        <v>232</v>
      </c>
      <c r="E48" s="2311"/>
      <c r="F48" s="2311"/>
      <c r="G48" s="2311"/>
      <c r="H48" s="2311"/>
      <c r="I48" s="2122"/>
      <c r="J48" s="2148" t="str">
        <f>I47&amp;".1"</f>
        <v>....1.1</v>
      </c>
      <c r="K48" s="1275"/>
      <c r="L48" s="1318" t="s">
        <v>423</v>
      </c>
      <c r="P48" s="2278"/>
      <c r="Q48" s="2278">
        <v>1</v>
      </c>
      <c r="R48" s="365"/>
      <c r="S48" s="1963" t="str">
        <f>$J48</f>
        <v>....1.1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1632"/>
      <c r="AP48" s="1632" t="str">
        <f>IF(T48="","",T48)</f>
        <v>Группа потребителей</v>
      </c>
      <c r="AQ48" s="1632"/>
      <c r="AR48" s="1632"/>
      <c r="AS48" s="1639">
        <v>21</v>
      </c>
    </row>
    <row customHeight="1" ht="22.049999999999997">
      <c r="A49" s="1275" t="s">
        <v>229</v>
      </c>
      <c r="B49" s="1275" t="s">
        <v>230</v>
      </c>
      <c r="C49" s="1275" t="s">
        <v>231</v>
      </c>
      <c r="D49" s="1275" t="s">
        <v>232</v>
      </c>
      <c r="E49" s="2311"/>
      <c r="F49" s="2311"/>
      <c r="G49" s="2311"/>
      <c r="H49" s="2311"/>
      <c r="I49" s="2122"/>
      <c r="J49" s="2122"/>
      <c r="K49" s="2148" t="str">
        <f>J48&amp;".1"</f>
        <v>....1.1.1</v>
      </c>
      <c r="L49" s="1318" t="s">
        <v>426</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427</v>
      </c>
      <c r="AN49" s="1644">
        <f>STRCHECKDATE(V50:AL50)</f>
      </c>
      <c r="AO49" s="1632"/>
      <c r="AP49" s="1632" t="str">
        <f>IF(T49="","",T49)</f>
        <v/>
      </c>
      <c r="AQ49" s="1632"/>
      <c r="AR49" s="1632"/>
      <c r="AS49" s="1639">
        <v>21</v>
      </c>
    </row>
    <row customHeight="1" ht="1.05">
      <c r="A50" s="1275" t="s">
        <v>229</v>
      </c>
      <c r="B50" s="1275" t="s">
        <v>230</v>
      </c>
      <c r="C50" s="1275" t="s">
        <v>231</v>
      </c>
      <c r="D50" s="1275" t="s">
        <v>232</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229</v>
      </c>
      <c r="B51" s="1275" t="s">
        <v>230</v>
      </c>
      <c r="C51" s="1275" t="s">
        <v>231</v>
      </c>
      <c r="D51" s="1275" t="s">
        <v>232</v>
      </c>
      <c r="E51" s="2311"/>
      <c r="F51" s="2311"/>
      <c r="G51" s="2311"/>
      <c r="H51" s="2311"/>
      <c r="I51" s="2122"/>
      <c r="J51" s="2148"/>
      <c r="K51" s="1275"/>
      <c r="L51" s="1318"/>
      <c r="P51" s="2278"/>
      <c r="Q51" s="2278"/>
      <c r="R51" s="364"/>
      <c r="S51" s="1286"/>
      <c r="T51" s="296" t="s">
        <v>428</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229</v>
      </c>
      <c r="B52" s="1275" t="s">
        <v>230</v>
      </c>
      <c r="C52" s="1275" t="s">
        <v>231</v>
      </c>
      <c r="D52" s="1275" t="s">
        <v>232</v>
      </c>
      <c r="E52" s="2311"/>
      <c r="F52" s="2311"/>
      <c r="G52" s="2311"/>
      <c r="H52" s="2311"/>
      <c r="I52" s="2148"/>
      <c r="J52" s="1275"/>
      <c r="K52" s="1275"/>
      <c r="L52" s="1318"/>
      <c r="P52" s="2278"/>
      <c r="Q52" s="1959"/>
      <c r="R52" s="364"/>
      <c r="S52" s="1286"/>
      <c r="T52" s="295" t="s">
        <v>429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229</v>
      </c>
      <c r="B53" s="1275" t="s">
        <v>230</v>
      </c>
      <c r="C53" s="1275" t="s">
        <v>231</v>
      </c>
      <c r="D53" s="1275" t="s">
        <v>232</v>
      </c>
      <c r="E53" s="2311"/>
      <c r="F53" s="2311"/>
      <c r="G53" s="2311"/>
      <c r="H53" s="2310"/>
      <c r="I53" s="1275"/>
      <c r="J53" s="1275"/>
      <c r="K53" s="1275"/>
      <c r="L53" s="1318"/>
      <c r="M53" s="1618"/>
      <c r="N53" s="1618"/>
      <c r="O53" s="1643"/>
      <c r="P53" s="368"/>
      <c r="Q53" s="383"/>
      <c r="R53" s="363"/>
      <c r="S53" s="1286"/>
      <c r="T53" s="373" t="s">
        <v>430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229</v>
      </c>
      <c r="B54" s="1383" t="s">
        <v>230</v>
      </c>
      <c r="C54" s="1383" t="s">
        <v>231</v>
      </c>
      <c r="D54" s="1382"/>
      <c r="E54" s="2311"/>
      <c r="F54" s="2311"/>
      <c r="G54" s="2310"/>
      <c r="H54" s="1382"/>
      <c r="I54" s="1382"/>
      <c r="J54" s="1382"/>
      <c r="K54" s="1382"/>
      <c r="L54" s="1385"/>
      <c r="M54" s="1386"/>
      <c r="N54" s="1386"/>
      <c r="O54" s="359"/>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229</v>
      </c>
      <c r="B55" s="1383" t="s">
        <v>230</v>
      </c>
      <c r="C55" s="1382"/>
      <c r="D55" s="1382"/>
      <c r="E55" s="2311"/>
      <c r="F55" s="2310"/>
      <c r="G55" s="1382"/>
      <c r="H55" s="1382"/>
      <c r="I55" s="1382"/>
      <c r="J55" s="1382"/>
      <c r="K55" s="1382"/>
      <c r="L55" s="1385"/>
      <c r="M55" s="1387"/>
      <c r="N55" s="1387"/>
      <c r="O55" s="35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229</v>
      </c>
      <c r="B56" s="1383"/>
      <c r="C56" s="1383"/>
      <c r="D56" s="1383"/>
      <c r="E56" s="2310"/>
      <c r="F56" s="1383"/>
      <c r="G56" s="1383"/>
      <c r="H56" s="1383"/>
      <c r="I56" s="1383"/>
      <c r="J56" s="1383"/>
      <c r="K56" s="1383"/>
      <c r="L56" s="1389"/>
      <c r="M56" s="1387"/>
      <c r="N56" s="1387"/>
      <c r="O56" s="359"/>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01E1FB-AD5C-216F-399F-66F331F824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310">
        <v>1</v>
      </c>
      <c r="F2" s="1275"/>
      <c r="G2" s="1275"/>
      <c r="H2" s="1275"/>
      <c r="I2" s="1275"/>
      <c r="J2" s="1275"/>
      <c r="K2" s="1275"/>
      <c r="L2" s="1318"/>
      <c r="M2" s="1618"/>
      <c r="N2" s="1618"/>
      <c r="O2" s="1618"/>
      <c r="P2" s="1598"/>
      <c r="Q2" s="368"/>
      <c r="R2" s="363"/>
      <c r="S2" s="1963">
        <f>INDEX(PT_DIFFERENTIATION_NUM_NTAR,MATCH(A2,PT_DIFFERENTIATION_NTAR_ID,0))</f>
      </c>
      <c r="T2" s="1533"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1632"/>
      <c r="AP2" s="1632" t="str">
        <f>IF(T2="","",T2)</f>
        <v>Наименование тарифа</v>
      </c>
      <c r="AQ2" s="1632"/>
      <c r="AR2" s="1632"/>
      <c r="AS2" s="1639">
        <v>0</v>
      </c>
    </row>
    <row customHeight="1" ht="21" hidden="1">
      <c r="A3" s="1275"/>
      <c r="B3" s="1275"/>
      <c r="C3" s="1275"/>
      <c r="D3" s="1275"/>
      <c r="E3" s="2311"/>
      <c r="F3" s="2310">
        <v>1</v>
      </c>
      <c r="G3" s="1275"/>
      <c r="H3" s="1275"/>
      <c r="I3" s="1275"/>
      <c r="J3" s="1275"/>
      <c r="K3" s="1275"/>
      <c r="L3" s="1318"/>
      <c r="M3" s="1618"/>
      <c r="N3" s="1618"/>
      <c r="O3" s="1618"/>
      <c r="P3" s="1945"/>
      <c r="Q3" s="360"/>
      <c r="R3" s="361"/>
      <c r="S3" s="1963">
        <f>INDEX(PT_DIFFERENTIATION_NUM_TER,MATCH(B3,PT_DIFFERENTIATION_TER_ID,0))</f>
      </c>
      <c r="T3" s="1530"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1632"/>
      <c r="AP3" s="1632" t="str">
        <f>IF(T3="","",T3)</f>
        <v>Территория действия тарифа</v>
      </c>
      <c r="AQ3" s="1632"/>
      <c r="AR3" s="1632"/>
      <c r="AS3" s="1639">
        <v>0</v>
      </c>
    </row>
    <row customHeight="1" ht="23.25" hidden="1">
      <c r="A4" s="1275"/>
      <c r="B4" s="1275"/>
      <c r="C4" s="1275"/>
      <c r="D4" s="1275"/>
      <c r="E4" s="2311"/>
      <c r="F4" s="2311"/>
      <c r="G4" s="2310">
        <v>1</v>
      </c>
      <c r="H4" s="1275"/>
      <c r="I4" s="1275"/>
      <c r="J4" s="1275"/>
      <c r="K4" s="1275"/>
      <c r="L4" s="1318"/>
      <c r="M4" s="1618"/>
      <c r="N4" s="1618"/>
      <c r="O4" s="1618"/>
      <c r="P4" s="362"/>
      <c r="Q4" s="360"/>
      <c r="R4" s="361"/>
      <c r="S4" s="1963">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1632"/>
      <c r="AP4" s="1632" t="str">
        <f>IF(T4="","",T4)</f>
        <v>Наименование системы теплоснабжения </v>
      </c>
      <c r="AQ4" s="1632"/>
      <c r="AR4" s="1632"/>
      <c r="AS4" s="1639">
        <v>0</v>
      </c>
    </row>
    <row customHeight="1" ht="21" hidden="1">
      <c r="A5" s="1275"/>
      <c r="B5" s="1275"/>
      <c r="C5" s="1275"/>
      <c r="D5" s="1275"/>
      <c r="E5" s="2311"/>
      <c r="F5" s="2311"/>
      <c r="G5" s="2311"/>
      <c r="H5" s="2310">
        <v>1</v>
      </c>
      <c r="I5" s="1275"/>
      <c r="J5" s="1275"/>
      <c r="K5" s="1275"/>
      <c r="L5" s="1318"/>
      <c r="M5" s="1618"/>
      <c r="N5" s="1618"/>
      <c r="O5" s="1618"/>
      <c r="P5" s="362"/>
      <c r="Q5" s="360"/>
      <c r="R5" s="361"/>
      <c r="S5" s="1963">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1632"/>
      <c r="AP5" s="1632" t="str">
        <f>IF(T5="","",T5)</f>
        <v>Источник тепловой энергии  </v>
      </c>
      <c r="AQ5" s="1632"/>
      <c r="AR5" s="1632"/>
      <c r="AS5" s="1639">
        <v>0</v>
      </c>
    </row>
    <row customHeight="1" ht="47.25" hidden="1">
      <c r="A6" s="1275"/>
      <c r="B6" s="1275"/>
      <c r="C6" s="1275"/>
      <c r="D6" s="1275"/>
      <c r="E6" s="2311"/>
      <c r="F6" s="2311"/>
      <c r="G6" s="2311"/>
      <c r="H6" s="2311"/>
      <c r="I6" s="2148">
        <f>S5&amp;".1"</f>
      </c>
      <c r="J6" s="1275"/>
      <c r="K6" s="1275"/>
      <c r="L6" s="1318" t="s">
        <v>420</v>
      </c>
      <c r="M6" s="1643"/>
      <c r="P6" s="2278">
        <v>1</v>
      </c>
      <c r="Q6" s="1959"/>
      <c r="R6" s="364"/>
      <c r="S6" s="1963">
        <f>$I6</f>
      </c>
      <c r="T6" s="293" t="s">
        <v>421</v>
      </c>
      <c r="U6" s="308"/>
      <c r="V6" s="2266"/>
      <c r="W6" s="2267"/>
      <c r="X6" s="2267"/>
      <c r="Y6" s="2267"/>
      <c r="Z6" s="2267"/>
      <c r="AA6" s="2267"/>
      <c r="AB6" s="2267"/>
      <c r="AC6" s="2268"/>
      <c r="AD6" s="2266"/>
      <c r="AE6" s="2267"/>
      <c r="AF6" s="2267"/>
      <c r="AG6" s="2267"/>
      <c r="AH6" s="2267"/>
      <c r="AI6" s="2267"/>
      <c r="AJ6" s="2267"/>
      <c r="AK6" s="2267"/>
      <c r="AL6" s="2268"/>
      <c r="AM6" s="1266" t="s">
        <v>422</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311"/>
      <c r="F7" s="2311"/>
      <c r="G7" s="2311"/>
      <c r="H7" s="2311"/>
      <c r="I7" s="2122"/>
      <c r="J7" s="2148">
        <f>I6&amp;".1"</f>
      </c>
      <c r="K7" s="1275"/>
      <c r="L7" s="1318" t="s">
        <v>423</v>
      </c>
      <c r="M7" s="1643"/>
      <c r="N7" s="1639"/>
      <c r="P7" s="2278"/>
      <c r="Q7" s="2278">
        <v>1</v>
      </c>
      <c r="R7" s="365"/>
      <c r="S7" s="1963">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1632"/>
      <c r="AP7" s="1632" t="str">
        <f>IF(T7="","",T7)</f>
        <v>Группа потребителей</v>
      </c>
      <c r="AQ7" s="1632"/>
      <c r="AR7" s="1632"/>
      <c r="AS7" s="1639">
        <v>0</v>
      </c>
    </row>
    <row customHeight="1" ht="21" hidden="1">
      <c r="A8" s="1275"/>
      <c r="B8" s="1275"/>
      <c r="C8" s="1275"/>
      <c r="D8" s="1275"/>
      <c r="E8" s="2311"/>
      <c r="F8" s="2311"/>
      <c r="G8" s="2311"/>
      <c r="H8" s="2311"/>
      <c r="I8" s="2122"/>
      <c r="J8" s="2122"/>
      <c r="K8" s="2148">
        <f>J7&amp;".1"</f>
      </c>
      <c r="L8" s="1318" t="s">
        <v>426</v>
      </c>
      <c r="M8" s="1643"/>
      <c r="N8" s="1639"/>
      <c r="O8" s="1639"/>
      <c r="P8" s="2278"/>
      <c r="Q8" s="2278"/>
      <c r="R8" s="365">
        <v>1</v>
      </c>
      <c r="S8" s="1963">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1644">
        <f>STRCHECKDATE(V9:AL9)</f>
      </c>
      <c r="AO8" s="1632"/>
      <c r="AP8" s="1632" t="str">
        <f>IF(T8="","",T8)</f>
        <v/>
      </c>
      <c r="AQ8" s="1632"/>
      <c r="AR8" s="1632"/>
      <c r="AS8" s="1639">
        <v>0</v>
      </c>
    </row>
    <row customHeight="1" ht="0.75" hidden="1">
      <c r="A9" s="1275"/>
      <c r="B9" s="1275"/>
      <c r="C9" s="1275"/>
      <c r="D9" s="1275"/>
      <c r="E9" s="2311"/>
      <c r="F9" s="2311"/>
      <c r="G9" s="2311"/>
      <c r="H9" s="2311"/>
      <c r="I9" s="2122"/>
      <c r="J9" s="2122"/>
      <c r="K9" s="2148"/>
      <c r="L9" s="1318"/>
      <c r="M9" s="1643"/>
      <c r="N9" s="1639"/>
      <c r="O9" s="1639"/>
      <c r="P9" s="2278"/>
      <c r="Q9" s="2278"/>
      <c r="R9" s="365"/>
      <c r="S9" s="1972"/>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1632"/>
      <c r="AP9" s="1632" t="str">
        <f>IF(T9="","",T9)</f>
        <v/>
      </c>
      <c r="AQ9" s="1632"/>
      <c r="AR9" s="1632"/>
      <c r="AS9" s="1639">
        <v>0</v>
      </c>
    </row>
    <row customHeight="1" ht="15" hidden="1">
      <c r="A10" s="1275"/>
      <c r="B10" s="1275"/>
      <c r="C10" s="1275"/>
      <c r="D10" s="1275"/>
      <c r="E10" s="2311"/>
      <c r="F10" s="2311"/>
      <c r="G10" s="2311"/>
      <c r="H10" s="2311"/>
      <c r="I10" s="2122"/>
      <c r="J10" s="2148"/>
      <c r="K10" s="1275"/>
      <c r="L10" s="1318"/>
      <c r="M10" s="1643"/>
      <c r="N10" s="1639"/>
      <c r="P10" s="2278"/>
      <c r="Q10" s="2278"/>
      <c r="R10" s="364"/>
      <c r="S10" s="1286"/>
      <c r="T10" s="296" t="s">
        <v>428</v>
      </c>
      <c r="U10" s="608"/>
      <c r="V10" s="608"/>
      <c r="W10" s="608"/>
      <c r="X10" s="608"/>
      <c r="Y10" s="608"/>
      <c r="Z10" s="608"/>
      <c r="AA10" s="608"/>
      <c r="AB10" s="608"/>
      <c r="AC10" s="608"/>
      <c r="AD10" s="608"/>
      <c r="AE10" s="608"/>
      <c r="AF10" s="608"/>
      <c r="AG10" s="608"/>
      <c r="AH10" s="608"/>
      <c r="AI10" s="608"/>
      <c r="AJ10" s="608"/>
      <c r="AK10" s="608"/>
      <c r="AL10" s="332"/>
      <c r="AM10" s="2276"/>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311"/>
      <c r="F11" s="2311"/>
      <c r="G11" s="2311"/>
      <c r="H11" s="2311"/>
      <c r="I11" s="2148"/>
      <c r="J11" s="1275"/>
      <c r="K11" s="1275"/>
      <c r="L11" s="1318"/>
      <c r="M11" s="1643"/>
      <c r="P11" s="2278"/>
      <c r="Q11" s="1959"/>
      <c r="R11" s="364"/>
      <c r="S11" s="1286"/>
      <c r="T11" s="295" t="s">
        <v>429</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311"/>
      <c r="F12" s="2311"/>
      <c r="G12" s="2311"/>
      <c r="H12" s="2310"/>
      <c r="I12" s="1275"/>
      <c r="J12" s="1275"/>
      <c r="K12" s="1275"/>
      <c r="L12" s="1318"/>
      <c r="M12" s="1618"/>
      <c r="N12" s="1618"/>
      <c r="O12" s="1643"/>
      <c r="P12" s="368"/>
      <c r="Q12" s="383"/>
      <c r="R12" s="363"/>
      <c r="S12" s="1286"/>
      <c r="T12" s="373" t="s">
        <v>430</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79"/>
      <c r="B13" s="1979"/>
      <c r="C13" s="1979"/>
      <c r="D13" s="1979"/>
      <c r="E13" s="2311"/>
      <c r="F13" s="2311"/>
      <c r="G13" s="2310"/>
      <c r="H13" s="1979"/>
      <c r="I13" s="1979"/>
      <c r="J13" s="1979"/>
      <c r="K13" s="1979"/>
      <c r="L13" s="1388"/>
      <c r="M13" s="1618"/>
      <c r="N13" s="1618"/>
      <c r="O13" s="164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79"/>
      <c r="B14" s="1979"/>
      <c r="C14" s="1979"/>
      <c r="D14" s="1979"/>
      <c r="E14" s="2311"/>
      <c r="F14" s="2310"/>
      <c r="G14" s="1979"/>
      <c r="H14" s="1979"/>
      <c r="I14" s="1979"/>
      <c r="J14" s="1979"/>
      <c r="K14" s="1979"/>
      <c r="L14" s="1388"/>
      <c r="M14" s="1980"/>
      <c r="N14" s="1980"/>
      <c r="O14" s="1643"/>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79"/>
      <c r="B15" s="1979"/>
      <c r="C15" s="1979"/>
      <c r="D15" s="1979"/>
      <c r="E15" s="2310"/>
      <c r="F15" s="1979"/>
      <c r="G15" s="1979"/>
      <c r="H15" s="1979"/>
      <c r="I15" s="1979"/>
      <c r="J15" s="1979"/>
      <c r="K15" s="1979"/>
      <c r="L15" s="1388"/>
      <c r="M15" s="1980"/>
      <c r="N15" s="1980"/>
      <c r="O15" s="1643"/>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88"/>
      <c r="AI17" s="2289" t="s">
        <v>61</v>
      </c>
      <c r="AJ17" s="2288"/>
      <c r="AK17" s="2289" t="s">
        <v>61</v>
      </c>
      <c r="AS17" s="1639">
        <v>0</v>
      </c>
    </row>
    <row customHeight="1" ht="14.25" hidden="1">
      <c r="AD18" s="1368"/>
      <c r="AE18" s="1368"/>
      <c r="AF18" s="1368"/>
      <c r="AG18" s="336" t="str">
        <f>AH17&amp;"-"&amp;AJ17</f>
        <v>-</v>
      </c>
      <c r="AH18" s="2289"/>
      <c r="AI18" s="2289"/>
      <c r="AJ18" s="2289"/>
      <c r="AK18" s="2289"/>
      <c r="AS18" s="1639">
        <v>0</v>
      </c>
    </row>
    <row customHeight="1" ht="14.25" hidden="1">
      <c r="AS19" s="1639">
        <v>0</v>
      </c>
    </row>
    <row s="1374" customFormat="1" customHeight="1" ht="22.5" hidden="1">
      <c r="A20" s="1639"/>
      <c r="B20" s="1639"/>
      <c r="C20" s="1639"/>
      <c r="D20" s="1639"/>
      <c r="E20" s="1639"/>
      <c r="F20" s="1639"/>
      <c r="G20" s="1639"/>
      <c r="H20" s="1639"/>
      <c r="I20" s="1639"/>
      <c r="J20" s="1639"/>
      <c r="K20" s="1639"/>
      <c r="L20" s="1944"/>
      <c r="M20" s="1970"/>
      <c r="N20" s="1970"/>
      <c r="O20" s="1353" t="s">
        <v>434</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4"/>
      <c r="M21" s="1970"/>
      <c r="N21" s="1970"/>
      <c r="O21" s="1970"/>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4"/>
      <c r="M22" s="1970"/>
      <c r="N22" s="1970"/>
      <c r="O22" s="1318" t="s">
        <v>435</v>
      </c>
      <c r="P22" s="1370"/>
      <c r="Q22" s="1379"/>
      <c r="R22" s="1379"/>
      <c r="S22" s="737"/>
      <c r="T22" s="1374" t="s">
        <v>436</v>
      </c>
      <c r="AA22" s="603" t="s">
        <v>437</v>
      </c>
      <c r="AC22" s="603" t="s">
        <v>438</v>
      </c>
      <c r="AD22" s="1374" t="s">
        <v>436</v>
      </c>
      <c r="AI22" s="603" t="s">
        <v>439</v>
      </c>
      <c r="AK22" s="603" t="s">
        <v>438</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639">
        <v>14</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58" customFormat="1" customHeight="1" ht="25.5" hidden="1">
      <c r="A29" s="1256"/>
      <c r="B29" s="1256"/>
      <c r="C29" s="1256"/>
      <c r="D29" s="1256"/>
      <c r="E29" s="1256"/>
      <c r="F29" s="1256"/>
      <c r="G29" s="1256"/>
      <c r="H29" s="1256"/>
      <c r="I29" s="1256"/>
      <c r="J29" s="1256"/>
      <c r="K29" s="1256"/>
      <c r="L29" s="1388"/>
      <c r="M29" s="1256"/>
      <c r="N29" s="1256"/>
      <c r="O29" s="1256"/>
      <c r="S29" s="2271" t="s">
        <v>41</v>
      </c>
      <c r="T29" s="2271"/>
      <c r="U29" s="1380"/>
      <c r="V29" s="2272" t="str">
        <f>IF(TITLE_NAME_OR_PR_CHANGE="",IF(TITLE_NAME_OR_PR="","",TITLE_NAME_OR_PR),TITLE_NAME_OR_PR_CHANGE)</f>
        <v/>
      </c>
      <c r="W29" s="2272"/>
      <c r="X29" s="2272"/>
      <c r="Y29" s="2272"/>
      <c r="Z29" s="2272"/>
      <c r="AA29" s="2272"/>
      <c r="AB29" s="2272"/>
      <c r="AC29" s="1643"/>
      <c r="AD29" s="2272" t="str">
        <f>IF(TITLE_NAME_OR_PR_CHANGE="",IF(TITLE_NAME_OR_PR="","",TITLE_NAME_OR_PR),TITLE_NAME_OR_PR_CHANGE)</f>
        <v/>
      </c>
      <c r="AE29" s="2272"/>
      <c r="AF29" s="2272"/>
      <c r="AG29" s="2272"/>
      <c r="AH29" s="2272"/>
      <c r="AI29" s="2272"/>
      <c r="AJ29" s="2272"/>
      <c r="AK29" s="1643"/>
      <c r="AL29" s="1643"/>
      <c r="AM29" s="288"/>
      <c r="AN29" s="376"/>
      <c r="AO29" s="376"/>
      <c r="AP29" s="376"/>
      <c r="AQ29" s="376"/>
      <c r="AR29" s="376"/>
      <c r="AS29" s="426">
        <v>0</v>
      </c>
    </row>
    <row s="1858" customFormat="1" customHeight="1" ht="18.75" hidden="1">
      <c r="A30" s="1256"/>
      <c r="B30" s="1256"/>
      <c r="C30" s="1256"/>
      <c r="D30" s="1256"/>
      <c r="E30" s="1256"/>
      <c r="F30" s="1256"/>
      <c r="G30" s="1256"/>
      <c r="H30" s="1256"/>
      <c r="I30" s="1256"/>
      <c r="J30" s="1256"/>
      <c r="K30" s="1256"/>
      <c r="L30" s="1388"/>
      <c r="M30" s="1256"/>
      <c r="N30" s="1256"/>
      <c r="O30" s="1256"/>
      <c r="S30" s="2271" t="s">
        <v>440</v>
      </c>
      <c r="T30" s="2271"/>
      <c r="U30" s="1380"/>
      <c r="V30" s="2285" t="str">
        <f>IF(TITLE_DATE_PR_CHANGE="",IF(TITLE_DATE_PR="","",TITLE_DATE_PR),TITLE_DATE_PR_CHANGE)</f>
        <v/>
      </c>
      <c r="W30" s="2285"/>
      <c r="X30" s="2285"/>
      <c r="Y30" s="2285"/>
      <c r="Z30" s="2285"/>
      <c r="AA30" s="2285"/>
      <c r="AB30" s="2285"/>
      <c r="AC30" s="1643"/>
      <c r="AD30" s="2285" t="str">
        <f>IF(TITLE_DATE_PR_CHANGE="",IF(TITLE_DATE_PR="","",TITLE_DATE_PR),TITLE_DATE_PR_CHANGE)</f>
        <v/>
      </c>
      <c r="AE30" s="2285"/>
      <c r="AF30" s="2285"/>
      <c r="AG30" s="2285"/>
      <c r="AH30" s="2285"/>
      <c r="AI30" s="2285"/>
      <c r="AJ30" s="2285"/>
      <c r="AK30" s="1643"/>
      <c r="AL30" s="1643"/>
      <c r="AM30" s="288"/>
      <c r="AN30" s="376"/>
      <c r="AO30" s="376"/>
      <c r="AP30" s="376"/>
      <c r="AQ30" s="376"/>
      <c r="AR30" s="376"/>
      <c r="AS30" s="426">
        <v>0</v>
      </c>
    </row>
    <row s="1858" customFormat="1" customHeight="1" ht="18.75" hidden="1">
      <c r="A31" s="1256"/>
      <c r="B31" s="1256"/>
      <c r="C31" s="1256"/>
      <c r="D31" s="1256"/>
      <c r="E31" s="1256"/>
      <c r="F31" s="1256"/>
      <c r="G31" s="1256"/>
      <c r="H31" s="1256"/>
      <c r="I31" s="1256"/>
      <c r="J31" s="1256"/>
      <c r="K31" s="1256"/>
      <c r="L31" s="1388"/>
      <c r="M31" s="1256"/>
      <c r="N31" s="1256"/>
      <c r="O31" s="1256"/>
      <c r="S31" s="2271" t="s">
        <v>441</v>
      </c>
      <c r="T31" s="2271"/>
      <c r="U31" s="1380"/>
      <c r="V31" s="2272" t="str">
        <f>IF(TITLE_NUMBER_PR_CHANGE="",IF(TITLE_NUMBER_PR="","",TITLE_NUMBER_PR),TITLE_NUMBER_PR_CHANGE)</f>
        <v/>
      </c>
      <c r="W31" s="2272"/>
      <c r="X31" s="2272"/>
      <c r="Y31" s="2272"/>
      <c r="Z31" s="2272"/>
      <c r="AA31" s="2272"/>
      <c r="AB31" s="2272"/>
      <c r="AC31" s="1643"/>
      <c r="AD31" s="2272" t="str">
        <f>IF(TITLE_NUMBER_PR_CHANGE="",IF(TITLE_NUMBER_PR="","",TITLE_NUMBER_PR),TITLE_NUMBER_PR_CHANGE)</f>
        <v/>
      </c>
      <c r="AE31" s="2272"/>
      <c r="AF31" s="2272"/>
      <c r="AG31" s="2272"/>
      <c r="AH31" s="2272"/>
      <c r="AI31" s="2272"/>
      <c r="AJ31" s="2272"/>
      <c r="AK31" s="1643"/>
      <c r="AL31" s="1643"/>
      <c r="AM31" s="288"/>
      <c r="AN31" s="376"/>
      <c r="AO31" s="376"/>
      <c r="AP31" s="376"/>
      <c r="AQ31" s="376"/>
      <c r="AR31" s="376"/>
      <c r="AS31" s="426">
        <v>0</v>
      </c>
    </row>
    <row s="1858" customFormat="1" customHeight="1" ht="18.75" hidden="1">
      <c r="A32" s="1256"/>
      <c r="B32" s="1256"/>
      <c r="C32" s="1256"/>
      <c r="D32" s="1256"/>
      <c r="E32" s="1256"/>
      <c r="F32" s="1256"/>
      <c r="G32" s="1256"/>
      <c r="H32" s="1256"/>
      <c r="I32" s="1256"/>
      <c r="J32" s="1256"/>
      <c r="K32" s="1256"/>
      <c r="L32" s="1388"/>
      <c r="M32" s="1256"/>
      <c r="N32" s="1256"/>
      <c r="O32" s="1256"/>
      <c r="S32" s="2271" t="s">
        <v>42</v>
      </c>
      <c r="T32" s="2271"/>
      <c r="U32" s="1380"/>
      <c r="V32" s="2272" t="str">
        <f>IF(TITLE_IST_PUB_CHANGE="",IF(TITLE_IST_PUB="","",TITLE_IST_PUB),TITLE_IST_PUB_CHANGE)</f>
        <v/>
      </c>
      <c r="W32" s="2272"/>
      <c r="X32" s="2272"/>
      <c r="Y32" s="2272"/>
      <c r="Z32" s="2272"/>
      <c r="AA32" s="2272"/>
      <c r="AB32" s="2272"/>
      <c r="AC32" s="1643"/>
      <c r="AD32" s="2272" t="str">
        <f>IF(TITLE_IST_PUB_CHANGE="",IF(TITLE_IST_PUB="","",TITLE_IST_PUB),TITLE_IST_PUB_CHANGE)</f>
        <v/>
      </c>
      <c r="AE32" s="2272"/>
      <c r="AF32" s="2272"/>
      <c r="AG32" s="2272"/>
      <c r="AH32" s="2272"/>
      <c r="AI32" s="2272"/>
      <c r="AJ32" s="2272"/>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58" customFormat="1" customHeight="1" ht="18.75" hidden="1">
      <c r="A34" s="1256"/>
      <c r="B34" s="1256"/>
      <c r="C34" s="1256"/>
      <c r="D34" s="1256"/>
      <c r="E34" s="1256"/>
      <c r="F34" s="1256"/>
      <c r="G34" s="1256"/>
      <c r="H34" s="1256"/>
      <c r="I34" s="1256"/>
      <c r="J34" s="1256"/>
      <c r="K34" s="1256"/>
      <c r="L34" s="1388"/>
      <c r="M34" s="1256"/>
      <c r="N34" s="1256"/>
      <c r="O34" s="1256"/>
      <c r="S34" s="2271" t="s">
        <v>442</v>
      </c>
      <c r="T34" s="2271"/>
      <c r="U34" s="1380"/>
      <c r="V34" s="2285" t="str">
        <f>IF(TITLE_DATE_PR_CHANGE="",IF(TITLE_DATE_PR="","",TITLE_DATE_PR),TITLE_DATE_PR_CHANGE)</f>
        <v/>
      </c>
      <c r="W34" s="2285"/>
      <c r="X34" s="2285"/>
      <c r="Y34" s="2285"/>
      <c r="Z34" s="2285"/>
      <c r="AA34" s="2285"/>
      <c r="AB34" s="2285"/>
      <c r="AC34" s="1643"/>
      <c r="AD34" s="2285" t="str">
        <f>IF(TITLE_DATE_PR_CHANGE="",IF(TITLE_DATE_PR="","",TITLE_DATE_PR),TITLE_DATE_PR_CHANGE)</f>
        <v/>
      </c>
      <c r="AE34" s="2285"/>
      <c r="AF34" s="2285"/>
      <c r="AG34" s="2285"/>
      <c r="AH34" s="2285"/>
      <c r="AI34" s="2285"/>
      <c r="AJ34" s="2285"/>
      <c r="AK34" s="1643"/>
      <c r="AL34" s="1643"/>
      <c r="AM34" s="288"/>
      <c r="AN34" s="376"/>
      <c r="AO34" s="376"/>
      <c r="AP34" s="376"/>
      <c r="AQ34" s="376"/>
      <c r="AR34" s="376"/>
      <c r="AS34" s="426">
        <v>0</v>
      </c>
    </row>
    <row s="1858" customFormat="1" customHeight="1" ht="18.75" hidden="1">
      <c r="A35" s="1256"/>
      <c r="B35" s="1256"/>
      <c r="C35" s="1256"/>
      <c r="D35" s="1256"/>
      <c r="E35" s="1256"/>
      <c r="F35" s="1256"/>
      <c r="G35" s="1256"/>
      <c r="H35" s="1256"/>
      <c r="I35" s="1256"/>
      <c r="J35" s="1256"/>
      <c r="K35" s="1256"/>
      <c r="L35" s="1388"/>
      <c r="M35" s="1256"/>
      <c r="N35" s="1256"/>
      <c r="O35" s="1256"/>
      <c r="S35" s="2271" t="s">
        <v>443</v>
      </c>
      <c r="T35" s="2271"/>
      <c r="U35" s="1380"/>
      <c r="V35" s="2272" t="str">
        <f>IF(TITLE_NUMBER_PR_CHANGE="",IF(TITLE_NUMBER_PR="","",TITLE_NUMBER_PR),TITLE_NUMBER_PR_CHANGE)</f>
        <v/>
      </c>
      <c r="W35" s="2272"/>
      <c r="X35" s="2272"/>
      <c r="Y35" s="2272"/>
      <c r="Z35" s="2272"/>
      <c r="AA35" s="2272"/>
      <c r="AB35" s="2272"/>
      <c r="AC35" s="1643"/>
      <c r="AD35" s="2272" t="str">
        <f>IF(TITLE_NUMBER_PR_CHANGE="",IF(TITLE_NUMBER_PR="","",TITLE_NUMBER_PR),TITLE_NUMBER_PR_CHANGE)</f>
        <v/>
      </c>
      <c r="AE35" s="2272"/>
      <c r="AF35" s="2272"/>
      <c r="AG35" s="2272"/>
      <c r="AH35" s="2272"/>
      <c r="AI35" s="2272"/>
      <c r="AJ35" s="2272"/>
      <c r="AK35" s="1643"/>
      <c r="AL35" s="1643"/>
      <c r="AM35" s="288"/>
      <c r="AN35" s="376"/>
      <c r="AO35" s="376"/>
      <c r="AP35" s="376"/>
      <c r="AQ35" s="376"/>
      <c r="AR35" s="376"/>
      <c r="AS35" s="426">
        <v>0</v>
      </c>
    </row>
    <row s="1858" customFormat="1" customHeight="1" ht="0">
      <c r="A36" s="1256"/>
      <c r="B36" s="1256"/>
      <c r="C36" s="1256"/>
      <c r="D36" s="1256"/>
      <c r="E36" s="1256"/>
      <c r="F36" s="1256"/>
      <c r="G36" s="1256"/>
      <c r="H36" s="1256"/>
      <c r="I36" s="1256"/>
      <c r="J36" s="1256"/>
      <c r="K36" s="1256"/>
      <c r="L36" s="1388"/>
      <c r="M36" s="1256"/>
      <c r="N36" s="1256"/>
      <c r="O36" s="1256"/>
      <c r="S36" s="1643"/>
      <c r="T36" s="1643"/>
      <c r="U36" s="1975"/>
      <c r="V36" s="1643"/>
      <c r="W36" s="1643"/>
      <c r="X36" s="1643"/>
      <c r="Y36" s="1643"/>
      <c r="Z36" s="1643"/>
      <c r="AA36" s="1643"/>
      <c r="AB36" s="1643"/>
      <c r="AC36" s="1650" t="s">
        <v>444</v>
      </c>
      <c r="AD36" s="1643"/>
      <c r="AE36" s="1643"/>
      <c r="AF36" s="1643"/>
      <c r="AG36" s="1643"/>
      <c r="AH36" s="1643"/>
      <c r="AI36" s="1643"/>
      <c r="AJ36" s="1643"/>
      <c r="AK36" s="1650" t="s">
        <v>444</v>
      </c>
      <c r="AN36" s="376"/>
      <c r="AO36" s="376"/>
      <c r="AP36" s="376"/>
      <c r="AQ36" s="376"/>
      <c r="AR36" s="376"/>
      <c r="AS36" s="426">
        <v>0</v>
      </c>
    </row>
    <row customHeight="1" ht="14.699999999999998">
      <c r="Q37" s="384"/>
      <c r="R37" s="384"/>
      <c r="S37" s="1283"/>
      <c r="T37" s="465"/>
      <c r="U37" s="1252"/>
      <c r="V37" s="2273"/>
      <c r="W37" s="2273"/>
      <c r="X37" s="2273"/>
      <c r="Y37" s="2273"/>
      <c r="Z37" s="2273"/>
      <c r="AA37" s="2273"/>
      <c r="AB37" s="2273"/>
      <c r="AC37" s="2273"/>
      <c r="AD37" s="2273"/>
      <c r="AE37" s="2273"/>
      <c r="AF37" s="2273"/>
      <c r="AG37" s="2273"/>
      <c r="AH37" s="2273"/>
      <c r="AI37" s="2273"/>
      <c r="AJ37" s="2273"/>
      <c r="AK37" s="2273"/>
      <c r="AS37" s="1639">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639">
        <v>14</v>
      </c>
    </row>
    <row customHeight="1" ht="14.699999999999998">
      <c r="Q39" s="384"/>
      <c r="R39" s="384"/>
      <c r="S39" s="2294" t="s">
        <v>88</v>
      </c>
      <c r="T39" s="2230" t="s">
        <v>445</v>
      </c>
      <c r="U39" s="345"/>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639">
        <v>14</v>
      </c>
    </row>
    <row customHeight="1" ht="35.699999999999996">
      <c r="Q40" s="384"/>
      <c r="R40" s="384"/>
      <c r="S40" s="2294"/>
      <c r="T40" s="2230"/>
      <c r="U40" s="1039"/>
      <c r="V40" s="2281" t="s">
        <v>450</v>
      </c>
      <c r="W40" s="2304" t="s">
        <v>451</v>
      </c>
      <c r="X40" s="2283" t="s">
        <v>452</v>
      </c>
      <c r="Y40" s="2284"/>
      <c r="Z40" s="2283" t="s">
        <v>466</v>
      </c>
      <c r="AA40" s="2290"/>
      <c r="AB40" s="2284"/>
      <c r="AC40" s="2299"/>
      <c r="AD40" s="2281" t="s">
        <v>450</v>
      </c>
      <c r="AE40" s="2304" t="s">
        <v>451</v>
      </c>
      <c r="AF40" s="2283" t="s">
        <v>452</v>
      </c>
      <c r="AG40" s="2284"/>
      <c r="AH40" s="2283" t="s">
        <v>453</v>
      </c>
      <c r="AI40" s="2290"/>
      <c r="AJ40" s="2284"/>
      <c r="AK40" s="2299"/>
      <c r="AL40" s="2302"/>
      <c r="AM40" s="2148"/>
      <c r="AS40" s="1639">
        <v>34</v>
      </c>
    </row>
    <row customHeight="1" ht="35.699999999999996">
      <c r="A41" s="1274"/>
      <c r="B41" s="1274" t="s">
        <v>154</v>
      </c>
      <c r="C41" s="1274" t="s">
        <v>155</v>
      </c>
      <c r="D41" s="1274" t="s">
        <v>156</v>
      </c>
      <c r="E41" s="1318" t="s">
        <v>454</v>
      </c>
      <c r="F41" s="1318" t="s">
        <v>455</v>
      </c>
      <c r="G41" s="1318" t="s">
        <v>456</v>
      </c>
      <c r="H41" s="1318" t="s">
        <v>457</v>
      </c>
      <c r="I41" s="1318" t="s">
        <v>458</v>
      </c>
      <c r="J41" s="1318" t="s">
        <v>459</v>
      </c>
      <c r="K41" s="1318" t="s">
        <v>460</v>
      </c>
      <c r="L41" s="1318" t="s">
        <v>435</v>
      </c>
      <c r="Q41" s="384"/>
      <c r="R41" s="384"/>
      <c r="S41" s="2294"/>
      <c r="T41" s="2230"/>
      <c r="U41" s="310"/>
      <c r="V41" s="2282"/>
      <c r="W41" s="2305"/>
      <c r="X41" s="1943" t="s">
        <v>461</v>
      </c>
      <c r="Y41" s="1943" t="s">
        <v>462</v>
      </c>
      <c r="Z41" s="1943" t="s">
        <v>463</v>
      </c>
      <c r="AA41" s="2291" t="s">
        <v>464</v>
      </c>
      <c r="AB41" s="2292"/>
      <c r="AC41" s="2300"/>
      <c r="AD41" s="2282"/>
      <c r="AE41" s="2305"/>
      <c r="AF41" s="1943" t="s">
        <v>461</v>
      </c>
      <c r="AG41" s="1943" t="s">
        <v>462</v>
      </c>
      <c r="AH41" s="1943" t="s">
        <v>463</v>
      </c>
      <c r="AI41" s="2291" t="s">
        <v>464</v>
      </c>
      <c r="AJ41" s="2292"/>
      <c r="AK41" s="2300"/>
      <c r="AL41" s="2303"/>
      <c r="AM41" s="2148"/>
      <c r="AS41" s="1639">
        <v>34</v>
      </c>
    </row>
    <row s="1649" customFormat="1" customHeight="1" ht="11.25" hidden="1">
      <c r="A42" s="1274"/>
      <c r="B42" s="1274"/>
      <c r="C42" s="1274"/>
      <c r="D42" s="1274"/>
      <c r="E42" s="1274"/>
      <c r="F42" s="1274"/>
      <c r="G42" s="1274"/>
      <c r="H42" s="1274"/>
      <c r="I42" s="1274"/>
      <c r="J42" s="1274"/>
      <c r="K42" s="1274"/>
      <c r="L42" s="1318"/>
      <c r="M42" s="1970"/>
      <c r="N42" s="1970"/>
      <c r="O42" s="1970"/>
      <c r="P42" s="1254"/>
      <c r="Q42" s="1255"/>
      <c r="R42" s="1262">
        <v>1</v>
      </c>
      <c r="S42" s="1285" t="s">
        <v>118</v>
      </c>
      <c r="T42" s="1263" t="s">
        <v>102</v>
      </c>
      <c r="U42" s="1253" t="str">
        <f>OFFSET(U42,0,-1)</f>
        <v>2</v>
      </c>
      <c r="V42" s="1961">
        <f>OFFSET(V42,0,-1)+1</f>
        <v>3</v>
      </c>
      <c r="W42" s="1961"/>
      <c r="X42" s="1961">
        <f>OFFSET(X42,0,-1)+1</f>
        <v>1</v>
      </c>
      <c r="Y42" s="1961">
        <f>OFFSET(Y42,0,-1)+1</f>
        <v>2</v>
      </c>
      <c r="Z42" s="1961">
        <f>OFFSET(Z42,0,-1)+1</f>
        <v>3</v>
      </c>
      <c r="AA42" s="2293">
        <f>OFFSET(AA42,0,-1)+1</f>
        <v>4</v>
      </c>
      <c r="AB42" s="2293"/>
      <c r="AC42" s="1961">
        <f>OFFSET(AC42,0,-2)+1</f>
        <v>5</v>
      </c>
      <c r="AD42" s="1961">
        <f>OFFSET(AD42,0,-1)+1</f>
        <v>6</v>
      </c>
      <c r="AE42" s="1961"/>
      <c r="AF42" s="1961">
        <f>OFFSET(AF42,0,-1)+1</f>
        <v>1</v>
      </c>
      <c r="AG42" s="1961">
        <f>OFFSET(AG42,0,-1)+1</f>
        <v>2</v>
      </c>
      <c r="AH42" s="1961">
        <f>OFFSET(AH42,0,-1)+1</f>
        <v>3</v>
      </c>
      <c r="AI42" s="2293">
        <f>OFFSET(AI42,0,-1)+1</f>
        <v>4</v>
      </c>
      <c r="AJ42" s="2293"/>
      <c r="AK42" s="1961">
        <f>OFFSET(AK42,0,-2)+1</f>
        <v>5</v>
      </c>
      <c r="AL42" s="1253">
        <f>OFFSET(AL42,0,-1)</f>
        <v>5</v>
      </c>
      <c r="AM42" s="1961">
        <f>OFFSET(AM42,0,-1)+1</f>
        <v>6</v>
      </c>
      <c r="AN42" s="1644"/>
      <c r="AO42" s="1644"/>
      <c r="AP42" s="1644"/>
      <c r="AQ42" s="1644"/>
      <c r="AR42" s="1644"/>
      <c r="AS42" s="1649">
        <v>0</v>
      </c>
    </row>
    <row customHeight="1" ht="22.049999999999997">
      <c r="A43" s="1275" t="s">
        <v>229</v>
      </c>
      <c r="B43" s="1275"/>
      <c r="C43" s="1275"/>
      <c r="D43" s="1275"/>
      <c r="E43" s="2310">
        <v>1</v>
      </c>
      <c r="F43" s="1275"/>
      <c r="G43" s="1275"/>
      <c r="H43" s="1275"/>
      <c r="I43" s="1275"/>
      <c r="J43" s="1275"/>
      <c r="K43" s="1275"/>
      <c r="L43" s="1318"/>
      <c r="M43" s="1618"/>
      <c r="N43" s="1618"/>
      <c r="O43" s="1618"/>
      <c r="P43" s="1598"/>
      <c r="Q43" s="368"/>
      <c r="R43" s="363"/>
      <c r="S43" s="1963">
        <f>INDEX(PT_DIFFERENTIATION_NUM_NTAR,MATCH(A43,PT_DIFFERENTIATION_NTAR_ID,0))</f>
        <v>0</v>
      </c>
      <c r="T43" s="1533"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229</v>
      </c>
      <c r="B44" s="1275" t="s">
        <v>230</v>
      </c>
      <c r="C44" s="1275"/>
      <c r="D44" s="1275"/>
      <c r="E44" s="2311"/>
      <c r="F44" s="2310">
        <v>1</v>
      </c>
      <c r="G44" s="1275"/>
      <c r="H44" s="1275"/>
      <c r="I44" s="1275"/>
      <c r="J44" s="1275"/>
      <c r="K44" s="1275"/>
      <c r="L44" s="1318"/>
      <c r="M44" s="1618"/>
      <c r="N44" s="1618"/>
      <c r="O44" s="1618"/>
      <c r="P44" s="1945"/>
      <c r="Q44" s="360"/>
      <c r="R44" s="361"/>
      <c r="S44" s="1963" t="str">
        <f>INDEX(PT_DIFFERENTIATION_NUM_TER,MATCH(B44,PT_DIFFERENTIATION_TER_ID,0))</f>
        <v>.</v>
      </c>
      <c r="T44" s="1530"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1632"/>
      <c r="AP44" s="1632" t="str">
        <f>IF(T44="","",T44)</f>
        <v>Территория действия тарифа</v>
      </c>
      <c r="AQ44" s="1632"/>
      <c r="AR44" s="1632"/>
      <c r="AS44" s="1639">
        <v>21</v>
      </c>
    </row>
    <row customHeight="1" ht="24">
      <c r="A45" s="1275" t="s">
        <v>229</v>
      </c>
      <c r="B45" s="1275" t="s">
        <v>230</v>
      </c>
      <c r="C45" s="1275" t="s">
        <v>231</v>
      </c>
      <c r="D45" s="1275"/>
      <c r="E45" s="2311"/>
      <c r="F45" s="2311"/>
      <c r="G45" s="2310">
        <v>1</v>
      </c>
      <c r="H45" s="1275"/>
      <c r="I45" s="1275"/>
      <c r="J45" s="1275"/>
      <c r="K45" s="1275"/>
      <c r="L45" s="1318"/>
      <c r="M45" s="1618"/>
      <c r="N45" s="1618"/>
      <c r="O45" s="1618"/>
      <c r="P45" s="362"/>
      <c r="Q45" s="360"/>
      <c r="R45" s="361"/>
      <c r="S45" s="1963"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1632"/>
      <c r="AP45" s="1632" t="str">
        <f>IF(T45="","",T45)</f>
        <v>Наименование системы теплоснабжения </v>
      </c>
      <c r="AQ45" s="1632"/>
      <c r="AR45" s="1632"/>
      <c r="AS45" s="1639">
        <v>23</v>
      </c>
    </row>
    <row customHeight="1" ht="22.049999999999997">
      <c r="A46" s="1275" t="s">
        <v>229</v>
      </c>
      <c r="B46" s="1275" t="s">
        <v>230</v>
      </c>
      <c r="C46" s="1275" t="s">
        <v>231</v>
      </c>
      <c r="D46" s="1275" t="s">
        <v>232</v>
      </c>
      <c r="E46" s="2311"/>
      <c r="F46" s="2311"/>
      <c r="G46" s="2311"/>
      <c r="H46" s="2310">
        <v>1</v>
      </c>
      <c r="I46" s="1275"/>
      <c r="J46" s="1275"/>
      <c r="K46" s="1275"/>
      <c r="L46" s="1318"/>
      <c r="M46" s="1618"/>
      <c r="N46" s="1618"/>
      <c r="O46" s="1618"/>
      <c r="P46" s="362"/>
      <c r="Q46" s="360"/>
      <c r="R46" s="361"/>
      <c r="S46" s="1963"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1632"/>
      <c r="AP46" s="1632" t="str">
        <f>IF(T46="","",T46)</f>
        <v>Источник тепловой энергии  </v>
      </c>
      <c r="AQ46" s="1632"/>
      <c r="AR46" s="1632"/>
      <c r="AS46" s="1639">
        <v>21</v>
      </c>
    </row>
    <row customHeight="1" ht="49.5">
      <c r="A47" s="1275" t="s">
        <v>229</v>
      </c>
      <c r="B47" s="1275" t="s">
        <v>230</v>
      </c>
      <c r="C47" s="1275" t="s">
        <v>231</v>
      </c>
      <c r="D47" s="1275" t="s">
        <v>232</v>
      </c>
      <c r="E47" s="2311"/>
      <c r="F47" s="2311"/>
      <c r="G47" s="2311"/>
      <c r="H47" s="2311"/>
      <c r="I47" s="2148" t="str">
        <f>S46&amp;".1"</f>
        <v>....1</v>
      </c>
      <c r="J47" s="1275"/>
      <c r="K47" s="1275"/>
      <c r="L47" s="1318" t="s">
        <v>420</v>
      </c>
      <c r="P47" s="2278">
        <v>1</v>
      </c>
      <c r="Q47" s="1959"/>
      <c r="R47" s="364"/>
      <c r="S47" s="1963" t="str">
        <f>$I47</f>
        <v>....1</v>
      </c>
      <c r="T47" s="293" t="s">
        <v>421</v>
      </c>
      <c r="U47" s="308"/>
      <c r="V47" s="2266"/>
      <c r="W47" s="2267"/>
      <c r="X47" s="2267"/>
      <c r="Y47" s="2267"/>
      <c r="Z47" s="2267"/>
      <c r="AA47" s="2267"/>
      <c r="AB47" s="2267"/>
      <c r="AC47" s="2268"/>
      <c r="AD47" s="2266"/>
      <c r="AE47" s="2267"/>
      <c r="AF47" s="2267"/>
      <c r="AG47" s="2267"/>
      <c r="AH47" s="2267"/>
      <c r="AI47" s="2267"/>
      <c r="AJ47" s="2267"/>
      <c r="AK47" s="2267"/>
      <c r="AL47" s="2268"/>
      <c r="AM47" s="1266" t="s">
        <v>422</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229</v>
      </c>
      <c r="B48" s="1275" t="s">
        <v>230</v>
      </c>
      <c r="C48" s="1275" t="s">
        <v>231</v>
      </c>
      <c r="D48" s="1275" t="s">
        <v>232</v>
      </c>
      <c r="E48" s="2311"/>
      <c r="F48" s="2311"/>
      <c r="G48" s="2311"/>
      <c r="H48" s="2311"/>
      <c r="I48" s="2122"/>
      <c r="J48" s="2148" t="str">
        <f>I47&amp;".1"</f>
        <v>....1.1</v>
      </c>
      <c r="K48" s="1275"/>
      <c r="L48" s="1318" t="s">
        <v>423</v>
      </c>
      <c r="P48" s="2278"/>
      <c r="Q48" s="2278">
        <v>1</v>
      </c>
      <c r="R48" s="365"/>
      <c r="S48" s="1963" t="str">
        <f>$J48</f>
        <v>....1.1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1632"/>
      <c r="AP48" s="1632" t="str">
        <f>IF(T48="","",T48)</f>
        <v>Группа потребителей</v>
      </c>
      <c r="AQ48" s="1632"/>
      <c r="AR48" s="1632"/>
      <c r="AS48" s="1639">
        <v>21</v>
      </c>
    </row>
    <row customHeight="1" ht="22.049999999999997">
      <c r="A49" s="1275" t="s">
        <v>229</v>
      </c>
      <c r="B49" s="1275" t="s">
        <v>230</v>
      </c>
      <c r="C49" s="1275" t="s">
        <v>231</v>
      </c>
      <c r="D49" s="1275" t="s">
        <v>232</v>
      </c>
      <c r="E49" s="2311"/>
      <c r="F49" s="2311"/>
      <c r="G49" s="2311"/>
      <c r="H49" s="2311"/>
      <c r="I49" s="2122"/>
      <c r="J49" s="2122"/>
      <c r="K49" s="2148" t="str">
        <f>J48&amp;".1"</f>
        <v>....1.1.1</v>
      </c>
      <c r="L49" s="1318" t="s">
        <v>426</v>
      </c>
      <c r="P49" s="2278"/>
      <c r="Q49" s="2278"/>
      <c r="R49" s="365">
        <v>1</v>
      </c>
      <c r="S49" s="1963" t="str">
        <f>$K49</f>
        <v>....1.1.1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427</v>
      </c>
      <c r="AN49" s="1644">
        <f>STRCHECKDATE(V50:AL50)</f>
      </c>
      <c r="AO49" s="1632"/>
      <c r="AP49" s="1632" t="str">
        <f>IF(T49="","",T49)</f>
        <v/>
      </c>
      <c r="AQ49" s="1632"/>
      <c r="AR49" s="1632"/>
      <c r="AS49" s="1639">
        <v>21</v>
      </c>
    </row>
    <row customHeight="1" ht="1.05">
      <c r="A50" s="1275" t="s">
        <v>229</v>
      </c>
      <c r="B50" s="1275" t="s">
        <v>230</v>
      </c>
      <c r="C50" s="1275" t="s">
        <v>231</v>
      </c>
      <c r="D50" s="1275" t="s">
        <v>232</v>
      </c>
      <c r="E50" s="2311"/>
      <c r="F50" s="2311"/>
      <c r="G50" s="2311"/>
      <c r="H50" s="2311"/>
      <c r="I50" s="2122"/>
      <c r="J50" s="2122"/>
      <c r="K50" s="2148"/>
      <c r="L50" s="1318"/>
      <c r="P50" s="2278"/>
      <c r="Q50" s="2278"/>
      <c r="R50" s="365"/>
      <c r="S50" s="1972"/>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1632"/>
      <c r="AP50" s="1632" t="str">
        <f>IF(T50="","",T50)</f>
        <v/>
      </c>
      <c r="AQ50" s="1632"/>
      <c r="AR50" s="1632"/>
      <c r="AS50" s="1639">
        <v>1</v>
      </c>
    </row>
    <row customHeight="1" ht="11.549999999999999">
      <c r="A51" s="1275" t="s">
        <v>229</v>
      </c>
      <c r="B51" s="1275" t="s">
        <v>230</v>
      </c>
      <c r="C51" s="1275" t="s">
        <v>231</v>
      </c>
      <c r="D51" s="1275" t="s">
        <v>232</v>
      </c>
      <c r="E51" s="2311"/>
      <c r="F51" s="2311"/>
      <c r="G51" s="2311"/>
      <c r="H51" s="2311"/>
      <c r="I51" s="2122"/>
      <c r="J51" s="2148"/>
      <c r="K51" s="1275"/>
      <c r="L51" s="1318"/>
      <c r="P51" s="2278"/>
      <c r="Q51" s="2278"/>
      <c r="R51" s="364"/>
      <c r="S51" s="1286"/>
      <c r="T51" s="296" t="s">
        <v>428</v>
      </c>
      <c r="U51" s="608"/>
      <c r="V51" s="608"/>
      <c r="W51" s="608"/>
      <c r="X51" s="608"/>
      <c r="Y51" s="608"/>
      <c r="Z51" s="608"/>
      <c r="AA51" s="608"/>
      <c r="AB51" s="608"/>
      <c r="AC51" s="608"/>
      <c r="AD51" s="608"/>
      <c r="AE51" s="608"/>
      <c r="AF51" s="608"/>
      <c r="AG51" s="608"/>
      <c r="AH51" s="608"/>
      <c r="AI51" s="608"/>
      <c r="AJ51" s="608"/>
      <c r="AK51" s="608"/>
      <c r="AL51" s="332"/>
      <c r="AM51" s="2276"/>
      <c r="AO51" s="1632"/>
      <c r="AP51" s="1632" t="str">
        <f>IF(T51="","",T51)</f>
        <v>Добавить вид теплоносителя (параметры теплоносителя)</v>
      </c>
      <c r="AQ51" s="1632"/>
      <c r="AR51" s="1632"/>
      <c r="AS51" s="1639">
        <v>11</v>
      </c>
    </row>
    <row customHeight="1" ht="11.549999999999999">
      <c r="A52" s="1275" t="s">
        <v>229</v>
      </c>
      <c r="B52" s="1275" t="s">
        <v>230</v>
      </c>
      <c r="C52" s="1275" t="s">
        <v>231</v>
      </c>
      <c r="D52" s="1275" t="s">
        <v>232</v>
      </c>
      <c r="E52" s="2311"/>
      <c r="F52" s="2311"/>
      <c r="G52" s="2311"/>
      <c r="H52" s="2311"/>
      <c r="I52" s="2148"/>
      <c r="J52" s="1275"/>
      <c r="K52" s="1275"/>
      <c r="L52" s="1318"/>
      <c r="P52" s="2278"/>
      <c r="Q52" s="1959"/>
      <c r="R52" s="364"/>
      <c r="S52" s="1286"/>
      <c r="T52" s="295" t="s">
        <v>429</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229</v>
      </c>
      <c r="B53" s="1275" t="s">
        <v>230</v>
      </c>
      <c r="C53" s="1275" t="s">
        <v>231</v>
      </c>
      <c r="D53" s="1275" t="s">
        <v>232</v>
      </c>
      <c r="E53" s="2311"/>
      <c r="F53" s="2311"/>
      <c r="G53" s="2311"/>
      <c r="H53" s="2310"/>
      <c r="I53" s="1275"/>
      <c r="J53" s="1275"/>
      <c r="K53" s="1275"/>
      <c r="L53" s="1318"/>
      <c r="M53" s="1618"/>
      <c r="N53" s="1618"/>
      <c r="O53" s="1643"/>
      <c r="P53" s="368"/>
      <c r="Q53" s="383"/>
      <c r="R53" s="363"/>
      <c r="S53" s="1286"/>
      <c r="T53" s="373" t="s">
        <v>430</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229</v>
      </c>
      <c r="B54" s="1275" t="s">
        <v>230</v>
      </c>
      <c r="C54" s="1275" t="s">
        <v>231</v>
      </c>
      <c r="D54" s="1979"/>
      <c r="E54" s="2311"/>
      <c r="F54" s="2311"/>
      <c r="G54" s="2310"/>
      <c r="H54" s="1979"/>
      <c r="I54" s="1979"/>
      <c r="J54" s="1979"/>
      <c r="K54" s="1979"/>
      <c r="L54" s="1388"/>
      <c r="M54" s="1618"/>
      <c r="N54" s="1618"/>
      <c r="O54" s="164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229</v>
      </c>
      <c r="B55" s="1275" t="s">
        <v>230</v>
      </c>
      <c r="C55" s="1979"/>
      <c r="D55" s="1979"/>
      <c r="E55" s="2311"/>
      <c r="F55" s="2310"/>
      <c r="G55" s="1979"/>
      <c r="H55" s="1979"/>
      <c r="I55" s="1979"/>
      <c r="J55" s="1979"/>
      <c r="K55" s="1979"/>
      <c r="L55" s="1388"/>
      <c r="M55" s="1980"/>
      <c r="N55" s="1980"/>
      <c r="O55" s="1643"/>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229</v>
      </c>
      <c r="B56" s="1275"/>
      <c r="C56" s="1275"/>
      <c r="D56" s="1275"/>
      <c r="E56" s="2310"/>
      <c r="F56" s="1275"/>
      <c r="G56" s="1275"/>
      <c r="H56" s="1275"/>
      <c r="I56" s="1275"/>
      <c r="J56" s="1275"/>
      <c r="K56" s="1275"/>
      <c r="L56" s="1318"/>
      <c r="M56" s="1980"/>
      <c r="N56" s="1980"/>
      <c r="O56" s="1643"/>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79"/>
      <c r="B57" s="1979"/>
      <c r="C57" s="1979"/>
      <c r="D57" s="1979"/>
      <c r="E57" s="1275"/>
      <c r="F57" s="1979"/>
      <c r="G57" s="1979"/>
      <c r="H57" s="1979"/>
      <c r="I57" s="1979"/>
      <c r="J57" s="1979"/>
      <c r="K57" s="1979"/>
      <c r="L57" s="1388"/>
      <c r="M57" s="1980"/>
      <c r="N57" s="1980"/>
      <c r="O57" s="1643"/>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9">
        <v>27</v>
      </c>
    </row>
    <row customHeight="1" ht="65.25">
      <c r="O60" s="164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9">
        <v>62</v>
      </c>
    </row>
    <row customHeight="1" ht="14.699999999999998">
      <c r="O61" s="1643"/>
      <c r="AS61" s="1639">
        <v>14</v>
      </c>
    </row>
    <row customHeight="1" ht="18.75">
      <c r="O62" s="1643"/>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9">
        <v>18</v>
      </c>
    </row>
    <row customHeight="1" ht="18.75">
      <c r="O63" s="164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9">
        <v>18</v>
      </c>
    </row>
    <row customHeight="1" ht="29.25">
      <c r="O64" s="1643"/>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4">
        <v>0</v>
      </c>
      <c r="M65" s="1970">
        <v>0</v>
      </c>
      <c r="N65" s="1970">
        <v>0</v>
      </c>
      <c r="O65" s="1970">
        <v>0</v>
      </c>
      <c r="P65" s="1970">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9CA2C-B5FC-6324-FE9A-ADBE30461B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508"/>
      <c r="AP5" s="508" t="str">
        <f>IF(T5="","",T5)</f>
        <v>Источник тепловой энергии  </v>
      </c>
      <c r="AQ5" s="508"/>
      <c r="AR5" s="508"/>
      <c r="AS5" s="1163">
        <v>0</v>
      </c>
    </row>
    <row customHeight="1" ht="47.25" hidden="1">
      <c r="A6" s="1371"/>
      <c r="B6" s="1371"/>
      <c r="C6" s="1371"/>
      <c r="D6" s="1371"/>
      <c r="E6" s="2280"/>
      <c r="F6" s="2280"/>
      <c r="G6" s="2280"/>
      <c r="H6" s="2280"/>
      <c r="I6" s="2277">
        <f>S5&amp;".1"</f>
      </c>
      <c r="J6" s="1371"/>
      <c r="K6" s="1371"/>
      <c r="L6" s="1372" t="s">
        <v>420</v>
      </c>
      <c r="M6" s="545"/>
      <c r="P6" s="2278">
        <v>1</v>
      </c>
      <c r="Q6" s="1339"/>
      <c r="R6" s="364"/>
      <c r="S6" s="1344">
        <f>$I6</f>
      </c>
      <c r="T6" s="293" t="s">
        <v>421</v>
      </c>
      <c r="U6" s="308"/>
      <c r="V6" s="2266"/>
      <c r="W6" s="2267"/>
      <c r="X6" s="2267"/>
      <c r="Y6" s="2267"/>
      <c r="Z6" s="2267"/>
      <c r="AA6" s="2267"/>
      <c r="AB6" s="2267"/>
      <c r="AC6" s="2268"/>
      <c r="AD6" s="2266"/>
      <c r="AE6" s="2267"/>
      <c r="AF6" s="2267"/>
      <c r="AG6" s="2267"/>
      <c r="AH6" s="2267"/>
      <c r="AI6" s="2267"/>
      <c r="AJ6" s="2267"/>
      <c r="AK6" s="2267"/>
      <c r="AL6" s="2268"/>
      <c r="AM6" s="1266" t="s">
        <v>422</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80"/>
      <c r="F7" s="2280"/>
      <c r="G7" s="2280"/>
      <c r="H7" s="2280"/>
      <c r="I7" s="2307"/>
      <c r="J7" s="2277">
        <f>I6&amp;".1"</f>
      </c>
      <c r="K7" s="1371"/>
      <c r="L7" s="1372" t="s">
        <v>423</v>
      </c>
      <c r="M7" s="545"/>
      <c r="N7" s="1374"/>
      <c r="P7" s="2278"/>
      <c r="Q7" s="2278">
        <v>1</v>
      </c>
      <c r="R7" s="365"/>
      <c r="S7" s="1344">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426</v>
      </c>
      <c r="M8" s="545"/>
      <c r="N8" s="1374"/>
      <c r="O8" s="1374"/>
      <c r="P8" s="2278"/>
      <c r="Q8" s="2278"/>
      <c r="R8" s="365">
        <v>1</v>
      </c>
      <c r="S8" s="1344">
        <f>$K8</f>
      </c>
      <c r="T8" s="1355"/>
      <c r="U8" s="308"/>
      <c r="V8" s="333"/>
      <c r="W8" s="759"/>
      <c r="X8" s="333"/>
      <c r="Y8" s="392"/>
      <c r="Z8" s="2286"/>
      <c r="AA8" s="2128" t="s">
        <v>61</v>
      </c>
      <c r="AB8" s="2286"/>
      <c r="AC8" s="2128" t="s">
        <v>61</v>
      </c>
      <c r="AD8" s="333"/>
      <c r="AE8" s="759"/>
      <c r="AF8" s="333"/>
      <c r="AG8" s="392"/>
      <c r="AH8" s="2286"/>
      <c r="AI8" s="2128" t="s">
        <v>61</v>
      </c>
      <c r="AJ8" s="2286"/>
      <c r="AK8" s="2128" t="s">
        <v>61</v>
      </c>
      <c r="AL8" s="333"/>
      <c r="AM8" s="2274" t="s">
        <v>427</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6"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295"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286"/>
      <c r="T12" s="373" t="s">
        <v>430</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51"/>
      <c r="AS26" s="1163">
        <v>28</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312"/>
      <c r="Y39" s="2312"/>
      <c r="Z39" s="2296"/>
      <c r="AA39" s="2296"/>
      <c r="AB39" s="2297"/>
      <c r="AC39" s="2298" t="s">
        <v>447</v>
      </c>
      <c r="AD39" s="2295" t="s">
        <v>446</v>
      </c>
      <c r="AE39" s="2296"/>
      <c r="AF39" s="2312"/>
      <c r="AG39" s="2312"/>
      <c r="AH39" s="2296"/>
      <c r="AI39" s="2296"/>
      <c r="AJ39" s="2297"/>
      <c r="AK39" s="2298" t="s">
        <v>448</v>
      </c>
      <c r="AL39" s="2301" t="s">
        <v>449</v>
      </c>
      <c r="AM39" s="2148"/>
      <c r="AS39" s="1163">
        <v>14</v>
      </c>
    </row>
    <row customHeight="1" ht="24">
      <c r="Q40" s="384"/>
      <c r="R40" s="384"/>
      <c r="S40" s="2294"/>
      <c r="T40" s="2230"/>
      <c r="U40" s="1039"/>
      <c r="V40" s="2313" t="s">
        <v>450</v>
      </c>
      <c r="W40" s="2315" t="s">
        <v>451</v>
      </c>
      <c r="X40" s="1384" t="s">
        <v>452</v>
      </c>
      <c r="Y40" s="1384"/>
      <c r="Z40" s="2290" t="s">
        <v>453</v>
      </c>
      <c r="AA40" s="2290"/>
      <c r="AB40" s="2284"/>
      <c r="AC40" s="2299"/>
      <c r="AD40" s="2313" t="s">
        <v>450</v>
      </c>
      <c r="AE40" s="2315" t="s">
        <v>451</v>
      </c>
      <c r="AF40" s="1384" t="s">
        <v>452</v>
      </c>
      <c r="AG40" s="1384"/>
      <c r="AH40" s="2290" t="s">
        <v>453</v>
      </c>
      <c r="AI40" s="2290"/>
      <c r="AJ40" s="2284"/>
      <c r="AK40" s="2299"/>
      <c r="AL40" s="2302"/>
      <c r="AM40" s="2148"/>
      <c r="AS40" s="1163">
        <v>23</v>
      </c>
    </row>
    <row s="1274" customFormat="1" customHeight="1" ht="24">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M41" s="1370"/>
      <c r="N41" s="1370"/>
      <c r="O41" s="1370"/>
      <c r="P41" s="1336"/>
      <c r="Q41" s="384"/>
      <c r="R41" s="384"/>
      <c r="S41" s="2294"/>
      <c r="T41" s="2230"/>
      <c r="U41" s="310"/>
      <c r="V41" s="2314"/>
      <c r="W41" s="2316"/>
      <c r="X41" s="1381" t="s">
        <v>461</v>
      </c>
      <c r="Y41" s="1381" t="s">
        <v>462</v>
      </c>
      <c r="Z41" s="1342" t="s">
        <v>463</v>
      </c>
      <c r="AA41" s="2291" t="s">
        <v>464</v>
      </c>
      <c r="AB41" s="2292"/>
      <c r="AC41" s="2300"/>
      <c r="AD41" s="2314"/>
      <c r="AE41" s="2316"/>
      <c r="AF41" s="1381" t="s">
        <v>461</v>
      </c>
      <c r="AG41" s="1381" t="s">
        <v>462</v>
      </c>
      <c r="AH41" s="1342" t="s">
        <v>463</v>
      </c>
      <c r="AI41" s="2291" t="s">
        <v>464</v>
      </c>
      <c r="AJ41" s="2292"/>
      <c r="AK41" s="2300"/>
      <c r="AL41" s="2303"/>
      <c r="AM41" s="2148"/>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9">
        <f>OFFSET(X42,0,-1)+1</f>
        <v>1</v>
      </c>
      <c r="Y42" s="1349">
        <f>OFFSET(Y42,0,-1)+1</f>
        <v>2</v>
      </c>
      <c r="Z42" s="1343">
        <f>OFFSET(Z42,0,-1)+1</f>
        <v>3</v>
      </c>
      <c r="AA42" s="2293">
        <f>OFFSET(AA42,0,-1)+1</f>
        <v>4</v>
      </c>
      <c r="AB42" s="2293"/>
      <c r="AC42" s="1343">
        <f>OFFSET(AC42,0,-2)+1</f>
        <v>5</v>
      </c>
      <c r="AD42" s="1343">
        <f>OFFSET(AD42,0,-1)+1</f>
        <v>6</v>
      </c>
      <c r="AE42" s="1343"/>
      <c r="AF42" s="1349">
        <f>OFFSET(AF42,0,-1)+1</f>
        <v>1</v>
      </c>
      <c r="AG42" s="1349">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211</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211</v>
      </c>
      <c r="B44" s="1371" t="s">
        <v>212</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21</v>
      </c>
    </row>
    <row customHeight="1" ht="24">
      <c r="A45" s="1371" t="s">
        <v>211</v>
      </c>
      <c r="B45" s="1371" t="s">
        <v>212</v>
      </c>
      <c r="C45" s="1371" t="s">
        <v>213</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2.049999999999997">
      <c r="A46" s="1371" t="s">
        <v>211</v>
      </c>
      <c r="B46" s="1371" t="s">
        <v>212</v>
      </c>
      <c r="C46" s="1371" t="s">
        <v>213</v>
      </c>
      <c r="D46" s="1371" t="s">
        <v>214</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21</v>
      </c>
    </row>
    <row customHeight="1" ht="49.5">
      <c r="A47" s="1371" t="s">
        <v>211</v>
      </c>
      <c r="B47" s="1371" t="s">
        <v>212</v>
      </c>
      <c r="C47" s="1371" t="s">
        <v>213</v>
      </c>
      <c r="D47" s="1371" t="s">
        <v>214</v>
      </c>
      <c r="E47" s="2280"/>
      <c r="F47" s="2280"/>
      <c r="G47" s="2280"/>
      <c r="H47" s="2280"/>
      <c r="I47" s="2277" t="str">
        <f>S46&amp;".1"</f>
        <v>....1</v>
      </c>
      <c r="J47" s="1371"/>
      <c r="K47" s="1371"/>
      <c r="L47" s="1372" t="s">
        <v>420</v>
      </c>
      <c r="P47" s="2278">
        <v>1</v>
      </c>
      <c r="Q47" s="1339"/>
      <c r="R47" s="364"/>
      <c r="S47" s="1344" t="str">
        <f>$I47</f>
        <v>....1</v>
      </c>
      <c r="T47" s="293" t="s">
        <v>421</v>
      </c>
      <c r="U47" s="308"/>
      <c r="V47" s="2266"/>
      <c r="W47" s="2267"/>
      <c r="X47" s="2267"/>
      <c r="Y47" s="2267"/>
      <c r="Z47" s="2267"/>
      <c r="AA47" s="2267"/>
      <c r="AB47" s="2267"/>
      <c r="AC47" s="2268"/>
      <c r="AD47" s="2266"/>
      <c r="AE47" s="2267"/>
      <c r="AF47" s="2267"/>
      <c r="AG47" s="2267"/>
      <c r="AH47" s="2267"/>
      <c r="AI47" s="2267"/>
      <c r="AJ47" s="2267"/>
      <c r="AK47" s="2267"/>
      <c r="AL47" s="2268"/>
      <c r="AM47" s="1266" t="s">
        <v>422</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211</v>
      </c>
      <c r="B48" s="1371" t="s">
        <v>212</v>
      </c>
      <c r="C48" s="1371" t="s">
        <v>213</v>
      </c>
      <c r="D48" s="1371" t="s">
        <v>214</v>
      </c>
      <c r="E48" s="2280"/>
      <c r="F48" s="2280"/>
      <c r="G48" s="2280"/>
      <c r="H48" s="2280"/>
      <c r="I48" s="2307"/>
      <c r="J48" s="2277" t="str">
        <f>I47&amp;".1"</f>
        <v>....1.1</v>
      </c>
      <c r="K48" s="1371"/>
      <c r="L48" s="1372" t="s">
        <v>423</v>
      </c>
      <c r="P48" s="2278"/>
      <c r="Q48" s="2278">
        <v>1</v>
      </c>
      <c r="R48" s="365"/>
      <c r="S48" s="1344" t="str">
        <f>$J48</f>
        <v>....1.1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21</v>
      </c>
    </row>
    <row customHeight="1" ht="22.049999999999997">
      <c r="A49" s="1371" t="s">
        <v>211</v>
      </c>
      <c r="B49" s="1371" t="s">
        <v>212</v>
      </c>
      <c r="C49" s="1371" t="s">
        <v>213</v>
      </c>
      <c r="D49" s="1371" t="s">
        <v>214</v>
      </c>
      <c r="E49" s="2280"/>
      <c r="F49" s="2280"/>
      <c r="G49" s="2280"/>
      <c r="H49" s="2280"/>
      <c r="I49" s="2307"/>
      <c r="J49" s="2307"/>
      <c r="K49" s="2277" t="str">
        <f>J48&amp;".1"</f>
        <v>....1.1.1</v>
      </c>
      <c r="L49" s="1372" t="s">
        <v>426</v>
      </c>
      <c r="P49" s="2278"/>
      <c r="Q49" s="2278"/>
      <c r="R49" s="365">
        <v>1</v>
      </c>
      <c r="S49" s="1344" t="str">
        <f>$K49</f>
        <v>....1.1.1</v>
      </c>
      <c r="T49" s="1355"/>
      <c r="U49" s="308"/>
      <c r="V49" s="333"/>
      <c r="W49" s="759"/>
      <c r="X49" s="333"/>
      <c r="Y49" s="392"/>
      <c r="Z49" s="2286"/>
      <c r="AA49" s="2128" t="s">
        <v>61</v>
      </c>
      <c r="AB49" s="2286"/>
      <c r="AC49" s="2128" t="s">
        <v>61</v>
      </c>
      <c r="AD49" s="333"/>
      <c r="AE49" s="759"/>
      <c r="AF49" s="333"/>
      <c r="AG49" s="392"/>
      <c r="AH49" s="2286"/>
      <c r="AI49" s="2128" t="s">
        <v>61</v>
      </c>
      <c r="AJ49" s="2308"/>
      <c r="AK49" s="2128" t="s">
        <v>61</v>
      </c>
      <c r="AL49" s="1356"/>
      <c r="AM49" s="2274" t="s">
        <v>427</v>
      </c>
      <c r="AN49" s="519">
        <f>STRCHECKDATE(V50:AL50)</f>
      </c>
      <c r="AO49" s="508"/>
      <c r="AP49" s="508" t="str">
        <f>IF(T49="","",T49)</f>
        <v/>
      </c>
      <c r="AQ49" s="508"/>
      <c r="AR49" s="508"/>
      <c r="AS49" s="1163">
        <v>21</v>
      </c>
    </row>
    <row customHeight="1" ht="1.05">
      <c r="A50" s="1371" t="s">
        <v>211</v>
      </c>
      <c r="B50" s="1371" t="s">
        <v>212</v>
      </c>
      <c r="C50" s="1371" t="s">
        <v>213</v>
      </c>
      <c r="D50" s="1371" t="s">
        <v>214</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211</v>
      </c>
      <c r="B51" s="1371" t="s">
        <v>212</v>
      </c>
      <c r="C51" s="1371" t="s">
        <v>213</v>
      </c>
      <c r="D51" s="1371" t="s">
        <v>214</v>
      </c>
      <c r="E51" s="2280"/>
      <c r="F51" s="2280"/>
      <c r="G51" s="2280"/>
      <c r="H51" s="2280"/>
      <c r="I51" s="2307"/>
      <c r="J51" s="2277"/>
      <c r="K51" s="1371"/>
      <c r="L51" s="1372"/>
      <c r="P51" s="2278"/>
      <c r="Q51" s="2278"/>
      <c r="R51" s="364"/>
      <c r="S51" s="1286"/>
      <c r="T51" s="296"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211</v>
      </c>
      <c r="B52" s="1371" t="s">
        <v>212</v>
      </c>
      <c r="C52" s="1371" t="s">
        <v>213</v>
      </c>
      <c r="D52" s="1371" t="s">
        <v>214</v>
      </c>
      <c r="E52" s="2280"/>
      <c r="F52" s="2280"/>
      <c r="G52" s="2280"/>
      <c r="H52" s="2280"/>
      <c r="I52" s="2277"/>
      <c r="J52" s="1371"/>
      <c r="K52" s="1371"/>
      <c r="L52" s="1372"/>
      <c r="P52" s="2278"/>
      <c r="Q52" s="1339"/>
      <c r="R52" s="364"/>
      <c r="S52" s="1286"/>
      <c r="T52" s="295"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211</v>
      </c>
      <c r="B53" s="1371" t="s">
        <v>212</v>
      </c>
      <c r="C53" s="1371" t="s">
        <v>213</v>
      </c>
      <c r="D53" s="1371" t="s">
        <v>214</v>
      </c>
      <c r="E53" s="2280"/>
      <c r="F53" s="2280"/>
      <c r="G53" s="2280"/>
      <c r="H53" s="2279"/>
      <c r="I53" s="1371"/>
      <c r="J53" s="1371"/>
      <c r="K53" s="1371"/>
      <c r="L53" s="1372"/>
      <c r="M53" s="1373"/>
      <c r="N53" s="1373"/>
      <c r="O53" s="545"/>
      <c r="P53" s="368"/>
      <c r="Q53" s="383"/>
      <c r="R53" s="363"/>
      <c r="S53" s="1286"/>
      <c r="T53" s="373" t="s">
        <v>430</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211</v>
      </c>
      <c r="B54" s="1351" t="s">
        <v>212</v>
      </c>
      <c r="C54" s="1351" t="s">
        <v>213</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211</v>
      </c>
      <c r="B55" s="1351" t="s">
        <v>212</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211</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27</v>
      </c>
    </row>
    <row customHeight="1" ht="78.7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75</v>
      </c>
    </row>
    <row customHeight="1" ht="14.699999999999998">
      <c r="O61" s="545"/>
      <c r="AS61" s="1163">
        <v>14</v>
      </c>
    </row>
    <row customHeight="1" ht="18.75">
      <c r="O62" s="545"/>
      <c r="S62" s="1261"/>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63">
        <v>18</v>
      </c>
    </row>
    <row customHeight="1" ht="18.75">
      <c r="O63" s="5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63">
        <v>18</v>
      </c>
    </row>
    <row customHeight="1" ht="39.7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9BF5B-5A27-0D69-710E-821C5B9AFF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420</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423</v>
      </c>
      <c r="M7" s="545"/>
      <c r="N7" s="1374"/>
      <c r="P7" s="2278"/>
      <c r="Q7" s="2278">
        <v>1</v>
      </c>
      <c r="R7" s="365"/>
      <c r="S7" s="1344">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426</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80"/>
      <c r="F11" s="2280"/>
      <c r="G11" s="2280"/>
      <c r="H11" s="2280"/>
      <c r="I11" s="2277"/>
      <c r="J11" s="1371"/>
      <c r="K11" s="1371"/>
      <c r="L11" s="1372"/>
      <c r="M11" s="545"/>
      <c r="P11" s="2278"/>
      <c r="Q11" s="1339"/>
      <c r="R11" s="364"/>
      <c r="S11" s="1286"/>
      <c r="T11" s="373"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60</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163">
        <v>14</v>
      </c>
    </row>
    <row customHeight="1" ht="35.699999999999996">
      <c r="Q40" s="384"/>
      <c r="R40" s="384"/>
      <c r="S40" s="2294"/>
      <c r="T40" s="2230"/>
      <c r="U40" s="1039"/>
      <c r="V40" s="2281" t="s">
        <v>450</v>
      </c>
      <c r="W40" s="2304"/>
      <c r="X40" s="2283" t="s">
        <v>452</v>
      </c>
      <c r="Y40" s="2284"/>
      <c r="Z40" s="2283" t="s">
        <v>453</v>
      </c>
      <c r="AA40" s="2290"/>
      <c r="AB40" s="2284"/>
      <c r="AC40" s="2299"/>
      <c r="AD40" s="2281" t="s">
        <v>467</v>
      </c>
      <c r="AE40" s="2304"/>
      <c r="AF40" s="2283" t="s">
        <v>452</v>
      </c>
      <c r="AG40" s="2284"/>
      <c r="AH40" s="2283" t="s">
        <v>453</v>
      </c>
      <c r="AI40" s="2290"/>
      <c r="AJ40" s="2284"/>
      <c r="AK40" s="2299"/>
      <c r="AL40" s="2302"/>
      <c r="AM40" s="2148"/>
      <c r="AS40" s="1163">
        <v>34</v>
      </c>
    </row>
    <row customHeight="1" ht="35.699999999999996">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Q41" s="384"/>
      <c r="R41" s="384"/>
      <c r="S41" s="2294"/>
      <c r="T41" s="2230"/>
      <c r="U41" s="310"/>
      <c r="V41" s="2282"/>
      <c r="W41" s="2305"/>
      <c r="X41" s="1230" t="s">
        <v>461</v>
      </c>
      <c r="Y41" s="1230" t="s">
        <v>462</v>
      </c>
      <c r="Z41" s="1346" t="s">
        <v>463</v>
      </c>
      <c r="AA41" s="2291" t="s">
        <v>464</v>
      </c>
      <c r="AB41" s="2292"/>
      <c r="AC41" s="2300"/>
      <c r="AD41" s="2282"/>
      <c r="AE41" s="2305"/>
      <c r="AF41" s="1230" t="s">
        <v>461</v>
      </c>
      <c r="AG41" s="1230" t="s">
        <v>462</v>
      </c>
      <c r="AH41" s="1346" t="s">
        <v>463</v>
      </c>
      <c r="AI41" s="2291" t="s">
        <v>464</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187</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187</v>
      </c>
      <c r="B44" s="1371" t="s">
        <v>188</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21</v>
      </c>
    </row>
    <row customHeight="1" ht="24">
      <c r="A45" s="1371" t="s">
        <v>187</v>
      </c>
      <c r="B45" s="1371" t="s">
        <v>188</v>
      </c>
      <c r="C45" s="1371" t="s">
        <v>189</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2.049999999999997">
      <c r="A46" s="1371" t="s">
        <v>187</v>
      </c>
      <c r="B46" s="1371" t="s">
        <v>188</v>
      </c>
      <c r="C46" s="1371" t="s">
        <v>189</v>
      </c>
      <c r="D46" s="1371" t="s">
        <v>190</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21</v>
      </c>
    </row>
    <row s="1650" customFormat="1" customHeight="1" ht="0">
      <c r="A47" s="1351" t="s">
        <v>187</v>
      </c>
      <c r="B47" s="1351" t="s">
        <v>188</v>
      </c>
      <c r="C47" s="1351" t="s">
        <v>189</v>
      </c>
      <c r="D47" s="1351" t="s">
        <v>190</v>
      </c>
      <c r="E47" s="2280"/>
      <c r="F47" s="2280"/>
      <c r="G47" s="2280"/>
      <c r="H47" s="2280"/>
      <c r="I47" s="2277" t="str">
        <f>S46&amp;".1"</f>
        <v>....1</v>
      </c>
      <c r="J47" s="1351"/>
      <c r="K47" s="1351"/>
      <c r="L47" s="1354" t="s">
        <v>420</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187</v>
      </c>
      <c r="B48" s="1371" t="s">
        <v>188</v>
      </c>
      <c r="C48" s="1371" t="s">
        <v>189</v>
      </c>
      <c r="D48" s="1371" t="s">
        <v>190</v>
      </c>
      <c r="E48" s="2280"/>
      <c r="F48" s="2280"/>
      <c r="G48" s="2280"/>
      <c r="H48" s="2280"/>
      <c r="I48" s="2307"/>
      <c r="J48" s="2277" t="str">
        <f>S46&amp;".1"</f>
        <v>....1</v>
      </c>
      <c r="K48" s="1371"/>
      <c r="L48" s="1372" t="s">
        <v>423</v>
      </c>
      <c r="P48" s="2278"/>
      <c r="Q48" s="2278">
        <v>1</v>
      </c>
      <c r="R48" s="365"/>
      <c r="S48" s="1344" t="str">
        <f>$J48</f>
        <v>....1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21</v>
      </c>
    </row>
    <row customHeight="1" ht="22.049999999999997">
      <c r="A49" s="1371" t="s">
        <v>187</v>
      </c>
      <c r="B49" s="1371" t="s">
        <v>188</v>
      </c>
      <c r="C49" s="1371" t="s">
        <v>189</v>
      </c>
      <c r="D49" s="1371" t="s">
        <v>190</v>
      </c>
      <c r="E49" s="2280"/>
      <c r="F49" s="2280"/>
      <c r="G49" s="2280"/>
      <c r="H49" s="2280"/>
      <c r="I49" s="2307"/>
      <c r="J49" s="2307"/>
      <c r="K49" s="2277" t="str">
        <f>J48&amp;".1"</f>
        <v>....1.1</v>
      </c>
      <c r="L49" s="1372" t="s">
        <v>426</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468</v>
      </c>
      <c r="AN49" s="519">
        <f>STRCHECKDATE(V50:AL50)</f>
      </c>
      <c r="AO49" s="508"/>
      <c r="AP49" s="508" t="str">
        <f>IF(T49="","",T49)</f>
        <v/>
      </c>
      <c r="AQ49" s="508"/>
      <c r="AR49" s="508"/>
      <c r="AS49" s="1163">
        <v>21</v>
      </c>
    </row>
    <row customHeight="1" ht="1.05">
      <c r="A50" s="1371" t="s">
        <v>187</v>
      </c>
      <c r="B50" s="1371" t="s">
        <v>188</v>
      </c>
      <c r="C50" s="1371" t="s">
        <v>189</v>
      </c>
      <c r="D50" s="1371" t="s">
        <v>190</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187</v>
      </c>
      <c r="B51" s="1371" t="s">
        <v>188</v>
      </c>
      <c r="C51" s="1371" t="s">
        <v>189</v>
      </c>
      <c r="D51" s="1371" t="s">
        <v>190</v>
      </c>
      <c r="E51" s="2280"/>
      <c r="F51" s="2280"/>
      <c r="G51" s="2280"/>
      <c r="H51" s="2280"/>
      <c r="I51" s="2307"/>
      <c r="J51" s="2277"/>
      <c r="K51" s="1371"/>
      <c r="L51" s="1372"/>
      <c r="P51" s="2278"/>
      <c r="Q51" s="2278"/>
      <c r="R51" s="364"/>
      <c r="S51" s="1286"/>
      <c r="T51" s="295"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187</v>
      </c>
      <c r="B52" s="1371" t="s">
        <v>188</v>
      </c>
      <c r="C52" s="1371" t="s">
        <v>189</v>
      </c>
      <c r="D52" s="1371" t="s">
        <v>190</v>
      </c>
      <c r="E52" s="2280"/>
      <c r="F52" s="2280"/>
      <c r="G52" s="2280"/>
      <c r="H52" s="2280"/>
      <c r="I52" s="2277"/>
      <c r="J52" s="1371"/>
      <c r="K52" s="1371"/>
      <c r="L52" s="1372"/>
      <c r="P52" s="2278"/>
      <c r="Q52" s="1339"/>
      <c r="R52" s="364"/>
      <c r="S52" s="1286"/>
      <c r="T52" s="373"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187</v>
      </c>
      <c r="B53" s="1371" t="s">
        <v>188</v>
      </c>
      <c r="C53" s="1371" t="s">
        <v>189</v>
      </c>
      <c r="D53" s="1371" t="s">
        <v>190</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187</v>
      </c>
      <c r="B54" s="1351" t="s">
        <v>188</v>
      </c>
      <c r="C54" s="1351" t="s">
        <v>189</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187</v>
      </c>
      <c r="B55" s="1351" t="s">
        <v>188</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187</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19</v>
      </c>
    </row>
    <row customHeight="1" ht="29.2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28</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8B88C-93C7-2AC4-4B23-7D1DBB7BBA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6"/>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2013">
        <f>INDEX(PT_DIFFERENTIATION_NUM_CS,MATCH(C4,PT_DIFFERENTIATION_CS_ID,0))</f>
      </c>
      <c r="T4" s="2017" t="s">
        <v>416</v>
      </c>
      <c r="U4" s="2018"/>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1643"/>
      <c r="S5" s="2012">
        <f>INDEX(PT_DIFFERENTIATION_NUM_IST_TE,MATCH(D5,PT_DIFFERENTIATION_IST_TE_ID,0))</f>
      </c>
      <c r="T5" s="318" t="s">
        <v>418</v>
      </c>
      <c r="U5" s="308"/>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15" t="s">
        <v>419</v>
      </c>
      <c r="AO5" s="508"/>
      <c r="AP5" s="508" t="str">
        <f>IF(T5="","",T5)</f>
        <v>Источник тепловой энергии  </v>
      </c>
      <c r="AQ5" s="508"/>
      <c r="AR5" s="508"/>
      <c r="AS5" s="1163">
        <v>0</v>
      </c>
    </row>
    <row customHeight="1" ht="0.75" hidden="1">
      <c r="A6" s="1371"/>
      <c r="B6" s="1371"/>
      <c r="C6" s="1371"/>
      <c r="D6" s="1371"/>
      <c r="E6" s="2280"/>
      <c r="F6" s="2280"/>
      <c r="G6" s="2280"/>
      <c r="H6" s="2280"/>
      <c r="I6" s="2277">
        <f>S5&amp;".1"</f>
      </c>
      <c r="J6" s="1371"/>
      <c r="K6" s="1371"/>
      <c r="L6" s="1372" t="s">
        <v>420</v>
      </c>
      <c r="M6" s="545"/>
      <c r="P6" s="2278">
        <v>1</v>
      </c>
      <c r="Q6" s="1339"/>
      <c r="R6" s="2011"/>
      <c r="S6" s="1050"/>
      <c r="T6" s="1391"/>
      <c r="U6" s="1392"/>
      <c r="V6" s="2325"/>
      <c r="W6" s="2325"/>
      <c r="X6" s="2325"/>
      <c r="Y6" s="2325"/>
      <c r="Z6" s="2325"/>
      <c r="AA6" s="2325"/>
      <c r="AB6" s="2325"/>
      <c r="AC6" s="2325"/>
      <c r="AD6" s="2325"/>
      <c r="AE6" s="2325"/>
      <c r="AF6" s="2325"/>
      <c r="AG6" s="2325"/>
      <c r="AH6" s="2325"/>
      <c r="AI6" s="2325"/>
      <c r="AJ6" s="2325"/>
      <c r="AK6" s="2325"/>
      <c r="AL6" s="2325"/>
      <c r="AM6" s="2016"/>
      <c r="AO6" s="508"/>
      <c r="AP6" s="508" t="str">
        <f>IF(T6="","",T6)</f>
        <v/>
      </c>
      <c r="AQ6" s="508"/>
      <c r="AR6" s="508"/>
      <c r="AS6" s="1163">
        <v>0</v>
      </c>
    </row>
    <row customHeight="1" ht="84" hidden="1">
      <c r="A7" s="1371"/>
      <c r="B7" s="1371"/>
      <c r="C7" s="1371"/>
      <c r="D7" s="1371"/>
      <c r="E7" s="2280"/>
      <c r="F7" s="2280"/>
      <c r="G7" s="2280"/>
      <c r="H7" s="2280"/>
      <c r="I7" s="2307"/>
      <c r="J7" s="2277">
        <f>I6&amp;".1"</f>
      </c>
      <c r="K7" s="1371"/>
      <c r="L7" s="1372" t="s">
        <v>423</v>
      </c>
      <c r="M7" s="545"/>
      <c r="N7" s="1374"/>
      <c r="P7" s="2278"/>
      <c r="Q7" s="2278">
        <v>1</v>
      </c>
      <c r="R7" s="1650"/>
      <c r="S7" s="2012">
        <f>$J7</f>
      </c>
      <c r="T7" s="294" t="s">
        <v>424</v>
      </c>
      <c r="U7" s="308"/>
      <c r="V7" s="2326"/>
      <c r="W7" s="2326"/>
      <c r="X7" s="2326"/>
      <c r="Y7" s="2326"/>
      <c r="Z7" s="2326"/>
      <c r="AA7" s="2326"/>
      <c r="AB7" s="2326"/>
      <c r="AC7" s="2326"/>
      <c r="AD7" s="2326"/>
      <c r="AE7" s="2326"/>
      <c r="AF7" s="2326"/>
      <c r="AG7" s="2326"/>
      <c r="AH7" s="2326"/>
      <c r="AI7" s="2326"/>
      <c r="AJ7" s="2326"/>
      <c r="AK7" s="2326"/>
      <c r="AL7" s="2326"/>
      <c r="AM7" s="2015" t="s">
        <v>425</v>
      </c>
      <c r="AO7" s="508"/>
      <c r="AP7" s="508" t="str">
        <f>IF(T7="","",T7)</f>
        <v>Группа потребителей</v>
      </c>
      <c r="AQ7" s="508"/>
      <c r="AR7" s="508"/>
      <c r="AS7" s="1163">
        <v>0</v>
      </c>
    </row>
    <row customHeight="1" ht="11.25" hidden="1">
      <c r="A8" s="1371"/>
      <c r="B8" s="1371"/>
      <c r="C8" s="1371"/>
      <c r="D8" s="1371"/>
      <c r="E8" s="2280"/>
      <c r="F8" s="2280"/>
      <c r="G8" s="2280"/>
      <c r="H8" s="2280"/>
      <c r="I8" s="2307"/>
      <c r="J8" s="2307"/>
      <c r="K8" s="2277">
        <f>J7&amp;".1"</f>
      </c>
      <c r="L8" s="1372" t="s">
        <v>426</v>
      </c>
      <c r="M8" s="545"/>
      <c r="N8" s="1374"/>
      <c r="O8" s="1374"/>
      <c r="P8" s="2278"/>
      <c r="Q8" s="2278"/>
      <c r="R8" s="365">
        <v>1</v>
      </c>
      <c r="S8" s="2014">
        <f>$K8</f>
      </c>
      <c r="T8" s="2019"/>
      <c r="U8" s="2020"/>
      <c r="V8" s="2021"/>
      <c r="W8" s="1357"/>
      <c r="X8" s="2021"/>
      <c r="Y8" s="2022"/>
      <c r="Z8" s="2327"/>
      <c r="AA8" s="2133" t="s">
        <v>61</v>
      </c>
      <c r="AB8" s="2327"/>
      <c r="AC8" s="2133" t="s">
        <v>61</v>
      </c>
      <c r="AD8" s="2021"/>
      <c r="AE8" s="1357"/>
      <c r="AF8" s="2021"/>
      <c r="AG8" s="2022"/>
      <c r="AH8" s="2327"/>
      <c r="AI8" s="2133" t="s">
        <v>61</v>
      </c>
      <c r="AJ8" s="2327"/>
      <c r="AK8" s="2133" t="s">
        <v>61</v>
      </c>
      <c r="AL8" s="1357"/>
      <c r="AM8" s="2274" t="s">
        <v>427</v>
      </c>
      <c r="AN8" s="519">
        <f>STRCHECKDATE(V9:AL9)</f>
      </c>
      <c r="AO8" s="508"/>
      <c r="AP8" s="508" t="str">
        <f>IF(T8="","",T8)</f>
        <v/>
      </c>
      <c r="AQ8" s="508"/>
      <c r="AR8" s="508"/>
      <c r="AS8" s="1163">
        <v>0</v>
      </c>
    </row>
    <row customHeight="1" ht="0.7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1.25" hidden="1">
      <c r="A10" s="1371"/>
      <c r="B10" s="1371"/>
      <c r="C10" s="1371"/>
      <c r="D10" s="1371"/>
      <c r="E10" s="2280"/>
      <c r="F10" s="2280"/>
      <c r="G10" s="2280"/>
      <c r="H10" s="2280"/>
      <c r="I10" s="2307"/>
      <c r="J10" s="2277"/>
      <c r="K10" s="1371"/>
      <c r="L10" s="1372"/>
      <c r="M10" s="545"/>
      <c r="N10" s="1374"/>
      <c r="P10" s="2278"/>
      <c r="Q10" s="2278"/>
      <c r="R10" s="364"/>
      <c r="S10" s="1286"/>
      <c r="T10" s="295"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51"/>
      <c r="AS26" s="1163">
        <v>52</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18.7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163">
        <v>14</v>
      </c>
    </row>
    <row customHeight="1" ht="35.699999999999996">
      <c r="Q40" s="384"/>
      <c r="R40" s="384"/>
      <c r="S40" s="2294"/>
      <c r="T40" s="2230"/>
      <c r="U40" s="1039"/>
      <c r="V40" s="2281" t="s">
        <v>450</v>
      </c>
      <c r="W40" s="2304"/>
      <c r="X40" s="2283" t="s">
        <v>452</v>
      </c>
      <c r="Y40" s="2284"/>
      <c r="Z40" s="2283" t="s">
        <v>453</v>
      </c>
      <c r="AA40" s="2290"/>
      <c r="AB40" s="2284"/>
      <c r="AC40" s="2299"/>
      <c r="AD40" s="2281" t="s">
        <v>467</v>
      </c>
      <c r="AE40" s="2304"/>
      <c r="AF40" s="2283" t="s">
        <v>452</v>
      </c>
      <c r="AG40" s="2284"/>
      <c r="AH40" s="2283" t="s">
        <v>453</v>
      </c>
      <c r="AI40" s="2290"/>
      <c r="AJ40" s="2284"/>
      <c r="AK40" s="2299"/>
      <c r="AL40" s="2302"/>
      <c r="AM40" s="2148"/>
      <c r="AS40" s="1163">
        <v>34</v>
      </c>
    </row>
    <row customHeight="1" ht="35.699999999999996">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Q41" s="384"/>
      <c r="R41" s="384"/>
      <c r="S41" s="2294"/>
      <c r="T41" s="2230"/>
      <c r="U41" s="310"/>
      <c r="V41" s="2282"/>
      <c r="W41" s="2305"/>
      <c r="X41" s="1230" t="s">
        <v>461</v>
      </c>
      <c r="Y41" s="1230" t="s">
        <v>462</v>
      </c>
      <c r="Z41" s="1346" t="s">
        <v>463</v>
      </c>
      <c r="AA41" s="2291" t="s">
        <v>464</v>
      </c>
      <c r="AB41" s="2292"/>
      <c r="AC41" s="2300"/>
      <c r="AD41" s="2282"/>
      <c r="AE41" s="2305"/>
      <c r="AF41" s="1230" t="s">
        <v>461</v>
      </c>
      <c r="AG41" s="1230" t="s">
        <v>462</v>
      </c>
      <c r="AH41" s="1346" t="s">
        <v>463</v>
      </c>
      <c r="AI41" s="2291" t="s">
        <v>464</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199</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199</v>
      </c>
      <c r="B44" s="1371" t="s">
        <v>200</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21</v>
      </c>
    </row>
    <row customHeight="1" ht="24">
      <c r="A45" s="1371" t="s">
        <v>199</v>
      </c>
      <c r="B45" s="1371" t="s">
        <v>200</v>
      </c>
      <c r="C45" s="1371" t="s">
        <v>201</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2.049999999999997">
      <c r="A46" s="1371" t="s">
        <v>199</v>
      </c>
      <c r="B46" s="1371" t="s">
        <v>200</v>
      </c>
      <c r="C46" s="1371" t="s">
        <v>201</v>
      </c>
      <c r="D46" s="1371" t="s">
        <v>202</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21</v>
      </c>
    </row>
    <row s="1650" customFormat="1" customHeight="1" ht="0">
      <c r="A47" s="1351" t="s">
        <v>199</v>
      </c>
      <c r="B47" s="1351" t="s">
        <v>200</v>
      </c>
      <c r="C47" s="1351" t="s">
        <v>201</v>
      </c>
      <c r="D47" s="1351" t="s">
        <v>202</v>
      </c>
      <c r="E47" s="2280"/>
      <c r="F47" s="2280"/>
      <c r="G47" s="2280"/>
      <c r="H47" s="2280"/>
      <c r="I47" s="2277" t="str">
        <f>S46&amp;".1"</f>
        <v>....1</v>
      </c>
      <c r="J47" s="1351"/>
      <c r="K47" s="1351"/>
      <c r="L47" s="1354" t="s">
        <v>420</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199</v>
      </c>
      <c r="B48" s="1371" t="s">
        <v>200</v>
      </c>
      <c r="C48" s="1371" t="s">
        <v>201</v>
      </c>
      <c r="D48" s="1371" t="s">
        <v>202</v>
      </c>
      <c r="E48" s="2280"/>
      <c r="F48" s="2280"/>
      <c r="G48" s="2280"/>
      <c r="H48" s="2280"/>
      <c r="I48" s="2307"/>
      <c r="J48" s="2277" t="str">
        <f>S46&amp;".1"</f>
        <v>....1</v>
      </c>
      <c r="K48" s="1371"/>
      <c r="L48" s="1372" t="s">
        <v>423</v>
      </c>
      <c r="P48" s="2278"/>
      <c r="Q48" s="2278">
        <v>1</v>
      </c>
      <c r="R48" s="365"/>
      <c r="S48" s="1344" t="str">
        <f>$J48</f>
        <v>....1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21</v>
      </c>
    </row>
    <row customHeight="1" ht="22.049999999999997">
      <c r="A49" s="1371" t="s">
        <v>199</v>
      </c>
      <c r="B49" s="1371" t="s">
        <v>200</v>
      </c>
      <c r="C49" s="1371" t="s">
        <v>201</v>
      </c>
      <c r="D49" s="1371" t="s">
        <v>202</v>
      </c>
      <c r="E49" s="2280"/>
      <c r="F49" s="2280"/>
      <c r="G49" s="2280"/>
      <c r="H49" s="2280"/>
      <c r="I49" s="2307"/>
      <c r="J49" s="2307"/>
      <c r="K49" s="2277" t="str">
        <f>J48&amp;".1"</f>
        <v>....1.1</v>
      </c>
      <c r="L49" s="1372" t="s">
        <v>426</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468</v>
      </c>
      <c r="AN49" s="519">
        <f>STRCHECKDATE(V50:AL50)</f>
      </c>
      <c r="AO49" s="508"/>
      <c r="AP49" s="508" t="str">
        <f>IF(T49="","",T49)</f>
        <v/>
      </c>
      <c r="AQ49" s="508"/>
      <c r="AR49" s="508"/>
      <c r="AS49" s="1163">
        <v>21</v>
      </c>
    </row>
    <row customHeight="1" ht="1.05">
      <c r="A50" s="1371" t="s">
        <v>199</v>
      </c>
      <c r="B50" s="1371" t="s">
        <v>200</v>
      </c>
      <c r="C50" s="1371" t="s">
        <v>201</v>
      </c>
      <c r="D50" s="1371" t="s">
        <v>202</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1</v>
      </c>
    </row>
    <row customHeight="1" ht="11.549999999999999">
      <c r="A51" s="1371" t="s">
        <v>199</v>
      </c>
      <c r="B51" s="1371" t="s">
        <v>200</v>
      </c>
      <c r="C51" s="1371" t="s">
        <v>201</v>
      </c>
      <c r="D51" s="1371" t="s">
        <v>202</v>
      </c>
      <c r="E51" s="2280"/>
      <c r="F51" s="2280"/>
      <c r="G51" s="2280"/>
      <c r="H51" s="2280"/>
      <c r="I51" s="2307"/>
      <c r="J51" s="2277"/>
      <c r="K51" s="1371"/>
      <c r="L51" s="1372"/>
      <c r="P51" s="2278"/>
      <c r="Q51" s="2278"/>
      <c r="R51" s="364"/>
      <c r="S51" s="1286"/>
      <c r="T51" s="295"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199</v>
      </c>
      <c r="B52" s="1371" t="s">
        <v>200</v>
      </c>
      <c r="C52" s="1371" t="s">
        <v>201</v>
      </c>
      <c r="D52" s="1371" t="s">
        <v>202</v>
      </c>
      <c r="E52" s="2280"/>
      <c r="F52" s="2280"/>
      <c r="G52" s="2280"/>
      <c r="H52" s="2280"/>
      <c r="I52" s="2277"/>
      <c r="J52" s="1371"/>
      <c r="K52" s="1371"/>
      <c r="L52" s="1372"/>
      <c r="P52" s="2278"/>
      <c r="Q52" s="1339"/>
      <c r="R52" s="364"/>
      <c r="S52" s="1286"/>
      <c r="T52" s="373"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199</v>
      </c>
      <c r="B53" s="1371" t="s">
        <v>200</v>
      </c>
      <c r="C53" s="1371" t="s">
        <v>201</v>
      </c>
      <c r="D53" s="1371" t="s">
        <v>202</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199</v>
      </c>
      <c r="B54" s="1351" t="s">
        <v>200</v>
      </c>
      <c r="C54" s="1351" t="s">
        <v>201</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199</v>
      </c>
      <c r="B55" s="1351" t="s">
        <v>200</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199</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22</v>
      </c>
    </row>
    <row customHeight="1" ht="30.45">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29</v>
      </c>
    </row>
    <row customHeight="1" ht="42">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40</v>
      </c>
    </row>
    <row customHeight="1" ht="14.699999999999998">
      <c r="O62" s="545"/>
      <c r="AS62" s="1163">
        <v>14</v>
      </c>
    </row>
    <row customHeight="1" ht="21">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20</v>
      </c>
    </row>
    <row customHeight="1" ht="29.25">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D6012-8D84-5E8F-F1E6-B2BDF42063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2418" width="3.7109375" hidden="1" customWidth="1"/>
    <col min="17" max="18" style="352" width="3.00390625" customWidth="1"/>
    <col min="19" max="19" style="2428"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79">
        <v>1</v>
      </c>
      <c r="F2" s="1371"/>
      <c r="G2" s="1371"/>
      <c r="H2" s="1371"/>
      <c r="I2" s="1371"/>
      <c r="J2" s="1371"/>
      <c r="K2" s="1371"/>
      <c r="L2" s="1372"/>
      <c r="M2" s="1373"/>
      <c r="N2" s="1373"/>
      <c r="O2" s="1373"/>
      <c r="P2" s="369"/>
      <c r="Q2" s="368"/>
      <c r="R2" s="363"/>
      <c r="S2" s="1344">
        <f>INDEX(PT_DIFFERENTIATION_NUM_NTAR,MATCH(A2,PT_DIFFERENTIATION_NTAR_ID,0))</f>
      </c>
      <c r="T2" s="306" t="s">
        <v>142</v>
      </c>
      <c r="U2" s="308"/>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6" t="s">
        <v>413</v>
      </c>
      <c r="AO2" s="508"/>
      <c r="AP2" s="508" t="str">
        <f>IF(T2="","",T2)</f>
        <v>Наименование тарифа</v>
      </c>
      <c r="AQ2" s="508"/>
      <c r="AR2" s="508"/>
      <c r="AS2" s="1163">
        <v>0</v>
      </c>
    </row>
    <row customHeight="1" ht="21" hidden="1">
      <c r="A3" s="1371"/>
      <c r="B3" s="1371"/>
      <c r="C3" s="1371"/>
      <c r="D3" s="1371"/>
      <c r="E3" s="2280"/>
      <c r="F3" s="2279">
        <v>1</v>
      </c>
      <c r="G3" s="1371"/>
      <c r="H3" s="1371"/>
      <c r="I3" s="1371"/>
      <c r="J3" s="1371"/>
      <c r="K3" s="1371"/>
      <c r="L3" s="1372"/>
      <c r="M3" s="1373"/>
      <c r="N3" s="1373"/>
      <c r="O3" s="1373"/>
      <c r="P3" s="1340"/>
      <c r="Q3" s="360"/>
      <c r="R3" s="361"/>
      <c r="S3" s="1344">
        <f>INDEX(PT_DIFFERENTIATION_NUM_TER,MATCH(B3,PT_DIFFERENTIATION_TER_ID,0))</f>
      </c>
      <c r="T3" s="316" t="s">
        <v>414</v>
      </c>
      <c r="U3" s="308"/>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6" t="s">
        <v>415</v>
      </c>
      <c r="AO3" s="508"/>
      <c r="AP3" s="508" t="str">
        <f>IF(T3="","",T3)</f>
        <v>Территория действия тарифа</v>
      </c>
      <c r="AQ3" s="508"/>
      <c r="AR3" s="508"/>
      <c r="AS3" s="1163">
        <v>0</v>
      </c>
    </row>
    <row customHeight="1" ht="23.25" hidden="1">
      <c r="A4" s="1371"/>
      <c r="B4" s="1371"/>
      <c r="C4" s="1371"/>
      <c r="D4" s="1371"/>
      <c r="E4" s="2280"/>
      <c r="F4" s="2280"/>
      <c r="G4" s="2279">
        <v>1</v>
      </c>
      <c r="H4" s="1371"/>
      <c r="I4" s="1371"/>
      <c r="J4" s="1371"/>
      <c r="K4" s="1371"/>
      <c r="L4" s="1372"/>
      <c r="M4" s="1373"/>
      <c r="N4" s="1373"/>
      <c r="O4" s="1373"/>
      <c r="P4" s="362"/>
      <c r="Q4" s="360"/>
      <c r="R4" s="361"/>
      <c r="S4" s="1344">
        <f>INDEX(PT_DIFFERENTIATION_NUM_CS,MATCH(C4,PT_DIFFERENTIATION_CS_ID,0))</f>
      </c>
      <c r="T4" s="317" t="s">
        <v>416</v>
      </c>
      <c r="U4" s="308"/>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6" t="s">
        <v>417</v>
      </c>
      <c r="AO4" s="508"/>
      <c r="AP4" s="508" t="str">
        <f>IF(T4="","",T4)</f>
        <v>Наименование системы теплоснабжения </v>
      </c>
      <c r="AQ4" s="508"/>
      <c r="AR4" s="508"/>
      <c r="AS4" s="1163">
        <v>0</v>
      </c>
    </row>
    <row customHeight="1" ht="21" hidden="1">
      <c r="A5" s="1371"/>
      <c r="B5" s="1371"/>
      <c r="C5" s="1371"/>
      <c r="D5" s="1371"/>
      <c r="E5" s="2280"/>
      <c r="F5" s="2280"/>
      <c r="G5" s="2280"/>
      <c r="H5" s="2279">
        <v>1</v>
      </c>
      <c r="I5" s="1371"/>
      <c r="J5" s="1371"/>
      <c r="K5" s="1371"/>
      <c r="L5" s="1372"/>
      <c r="M5" s="1373"/>
      <c r="N5" s="1373"/>
      <c r="O5" s="1373"/>
      <c r="P5" s="362"/>
      <c r="Q5" s="360"/>
      <c r="R5" s="361"/>
      <c r="S5" s="1344">
        <f>INDEX(PT_DIFFERENTIATION_NUM_IST_TE,MATCH(D5,PT_DIFFERENTIATION_IST_TE_ID,0))</f>
      </c>
      <c r="T5" s="318" t="s">
        <v>418</v>
      </c>
      <c r="U5" s="308"/>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6" t="s">
        <v>419</v>
      </c>
      <c r="AO5" s="508"/>
      <c r="AP5" s="508" t="str">
        <f>IF(T5="","",T5)</f>
        <v>Источник тепловой энергии  </v>
      </c>
      <c r="AQ5" s="508"/>
      <c r="AR5" s="508"/>
      <c r="AS5" s="1163">
        <v>0</v>
      </c>
    </row>
    <row customHeight="1" ht="14.25" hidden="1">
      <c r="A6" s="1371"/>
      <c r="B6" s="1371"/>
      <c r="C6" s="1371"/>
      <c r="D6" s="1371"/>
      <c r="E6" s="2280"/>
      <c r="F6" s="2280"/>
      <c r="G6" s="2280"/>
      <c r="H6" s="2280"/>
      <c r="I6" s="2277">
        <f>S5&amp;".1"</f>
      </c>
      <c r="J6" s="1371"/>
      <c r="K6" s="1371"/>
      <c r="L6" s="1372" t="s">
        <v>420</v>
      </c>
      <c r="M6" s="545"/>
      <c r="P6" s="2278">
        <v>1</v>
      </c>
      <c r="Q6" s="1339"/>
      <c r="R6" s="364"/>
      <c r="S6" s="1050"/>
      <c r="T6" s="1391"/>
      <c r="U6" s="1392"/>
      <c r="V6" s="2317"/>
      <c r="W6" s="2318"/>
      <c r="X6" s="2318"/>
      <c r="Y6" s="2318"/>
      <c r="Z6" s="2318"/>
      <c r="AA6" s="2318"/>
      <c r="AB6" s="2318"/>
      <c r="AC6" s="2319"/>
      <c r="AD6" s="2317"/>
      <c r="AE6" s="2318"/>
      <c r="AF6" s="2318"/>
      <c r="AG6" s="2318"/>
      <c r="AH6" s="2318"/>
      <c r="AI6" s="2318"/>
      <c r="AJ6" s="2318"/>
      <c r="AK6" s="2318"/>
      <c r="AL6" s="2319"/>
      <c r="AM6" s="1393"/>
      <c r="AO6" s="508"/>
      <c r="AP6" s="508" t="str">
        <f>IF(T6="","",T6)</f>
        <v/>
      </c>
      <c r="AQ6" s="508"/>
      <c r="AR6" s="508"/>
      <c r="AS6" s="1163">
        <v>0</v>
      </c>
    </row>
    <row customHeight="1" ht="21" hidden="1">
      <c r="A7" s="1371"/>
      <c r="B7" s="1371"/>
      <c r="C7" s="1371"/>
      <c r="D7" s="1371"/>
      <c r="E7" s="2280"/>
      <c r="F7" s="2280"/>
      <c r="G7" s="2280"/>
      <c r="H7" s="2280"/>
      <c r="I7" s="2307"/>
      <c r="J7" s="2277">
        <f>I6&amp;".1"</f>
      </c>
      <c r="K7" s="1371"/>
      <c r="L7" s="1372" t="s">
        <v>423</v>
      </c>
      <c r="M7" s="545"/>
      <c r="N7" s="1374"/>
      <c r="P7" s="2278"/>
      <c r="Q7" s="2278">
        <v>1</v>
      </c>
      <c r="R7" s="365"/>
      <c r="S7" s="1344">
        <f>$J7</f>
      </c>
      <c r="T7" s="294" t="s">
        <v>424</v>
      </c>
      <c r="U7" s="308"/>
      <c r="V7" s="2266"/>
      <c r="W7" s="2267"/>
      <c r="X7" s="2267"/>
      <c r="Y7" s="2267"/>
      <c r="Z7" s="2267"/>
      <c r="AA7" s="2267"/>
      <c r="AB7" s="2267"/>
      <c r="AC7" s="2268"/>
      <c r="AD7" s="2266"/>
      <c r="AE7" s="2267"/>
      <c r="AF7" s="2267"/>
      <c r="AG7" s="2267"/>
      <c r="AH7" s="2267"/>
      <c r="AI7" s="2267"/>
      <c r="AJ7" s="2267"/>
      <c r="AK7" s="2267"/>
      <c r="AL7" s="2268"/>
      <c r="AM7" s="1266" t="s">
        <v>425</v>
      </c>
      <c r="AO7" s="508"/>
      <c r="AP7" s="508" t="str">
        <f>IF(T7="","",T7)</f>
        <v>Группа потребителей</v>
      </c>
      <c r="AQ7" s="508"/>
      <c r="AR7" s="508"/>
      <c r="AS7" s="1163">
        <v>0</v>
      </c>
    </row>
    <row customHeight="1" ht="21" hidden="1">
      <c r="A8" s="1371"/>
      <c r="B8" s="1371"/>
      <c r="C8" s="1371"/>
      <c r="D8" s="1371"/>
      <c r="E8" s="2280"/>
      <c r="F8" s="2280"/>
      <c r="G8" s="2280"/>
      <c r="H8" s="2280"/>
      <c r="I8" s="2307"/>
      <c r="J8" s="2307"/>
      <c r="K8" s="2277">
        <f>J7&amp;".1"</f>
      </c>
      <c r="L8" s="1372" t="s">
        <v>426</v>
      </c>
      <c r="M8" s="545"/>
      <c r="N8" s="1374"/>
      <c r="O8" s="1374"/>
      <c r="P8" s="2278"/>
      <c r="Q8" s="2278"/>
      <c r="R8" s="365">
        <v>1</v>
      </c>
      <c r="S8" s="1344">
        <f>$K8</f>
      </c>
      <c r="T8" s="1355"/>
      <c r="U8" s="308"/>
      <c r="V8" s="759"/>
      <c r="W8" s="333"/>
      <c r="X8" s="759"/>
      <c r="Y8" s="1265"/>
      <c r="Z8" s="2286"/>
      <c r="AA8" s="2128" t="s">
        <v>61</v>
      </c>
      <c r="AB8" s="2286"/>
      <c r="AC8" s="2128" t="s">
        <v>61</v>
      </c>
      <c r="AD8" s="759"/>
      <c r="AE8" s="333"/>
      <c r="AF8" s="759"/>
      <c r="AG8" s="1265"/>
      <c r="AH8" s="2286"/>
      <c r="AI8" s="2128" t="s">
        <v>61</v>
      </c>
      <c r="AJ8" s="2286"/>
      <c r="AK8" s="2128" t="s">
        <v>61</v>
      </c>
      <c r="AL8" s="333"/>
      <c r="AM8" s="2274" t="s">
        <v>427</v>
      </c>
      <c r="AN8" s="519">
        <f>STRCHECKDATE(V9:AL9)</f>
      </c>
      <c r="AO8" s="508"/>
      <c r="AP8" s="508" t="str">
        <f>IF(T8="","",T8)</f>
        <v/>
      </c>
      <c r="AQ8" s="508"/>
      <c r="AR8" s="508"/>
      <c r="AS8" s="1163">
        <v>0</v>
      </c>
    </row>
    <row customHeight="1" ht="14.25" hidden="1">
      <c r="A9" s="1371"/>
      <c r="B9" s="1371"/>
      <c r="C9" s="1371"/>
      <c r="D9" s="1371"/>
      <c r="E9" s="2280"/>
      <c r="F9" s="2280"/>
      <c r="G9" s="2280"/>
      <c r="H9" s="2280"/>
      <c r="I9" s="2307"/>
      <c r="J9" s="2307"/>
      <c r="K9" s="2277"/>
      <c r="L9" s="1372"/>
      <c r="M9" s="545"/>
      <c r="N9" s="1374"/>
      <c r="O9" s="1374"/>
      <c r="P9" s="2278"/>
      <c r="Q9" s="2278"/>
      <c r="R9" s="365"/>
      <c r="S9" s="1350"/>
      <c r="T9" s="308"/>
      <c r="U9" s="308"/>
      <c r="V9" s="333"/>
      <c r="W9" s="333"/>
      <c r="X9" s="333"/>
      <c r="Y9" s="336" t="str">
        <f>Z8&amp;"-"&amp;AB8</f>
        <v>-</v>
      </c>
      <c r="Z9" s="2287"/>
      <c r="AA9" s="2128"/>
      <c r="AB9" s="2287"/>
      <c r="AC9" s="2128"/>
      <c r="AD9" s="333"/>
      <c r="AE9" s="333"/>
      <c r="AF9" s="333"/>
      <c r="AG9" s="336" t="str">
        <f>AH8&amp;"-"&amp;AJ8</f>
        <v>-</v>
      </c>
      <c r="AH9" s="2287"/>
      <c r="AI9" s="2128"/>
      <c r="AJ9" s="2287"/>
      <c r="AK9" s="2128"/>
      <c r="AL9" s="333"/>
      <c r="AM9" s="2275"/>
      <c r="AO9" s="508"/>
      <c r="AP9" s="508" t="str">
        <f>IF(T9="","",T9)</f>
        <v/>
      </c>
      <c r="AQ9" s="508"/>
      <c r="AR9" s="508"/>
      <c r="AS9" s="1163">
        <v>0</v>
      </c>
    </row>
    <row customHeight="1" ht="15" hidden="1">
      <c r="A10" s="1371"/>
      <c r="B10" s="1371"/>
      <c r="C10" s="1371"/>
      <c r="D10" s="1371"/>
      <c r="E10" s="2280"/>
      <c r="F10" s="2280"/>
      <c r="G10" s="2280"/>
      <c r="H10" s="2280"/>
      <c r="I10" s="2307"/>
      <c r="J10" s="2277"/>
      <c r="K10" s="1371"/>
      <c r="L10" s="1372"/>
      <c r="M10" s="545"/>
      <c r="N10" s="1374"/>
      <c r="P10" s="2278"/>
      <c r="Q10" s="2278"/>
      <c r="R10" s="364"/>
      <c r="S10" s="1286"/>
      <c r="T10" s="295" t="s">
        <v>428</v>
      </c>
      <c r="U10" s="375"/>
      <c r="V10" s="375"/>
      <c r="W10" s="375"/>
      <c r="X10" s="375"/>
      <c r="Y10" s="375"/>
      <c r="Z10" s="375"/>
      <c r="AA10" s="375"/>
      <c r="AB10" s="375"/>
      <c r="AC10" s="375"/>
      <c r="AD10" s="375"/>
      <c r="AE10" s="375"/>
      <c r="AF10" s="375"/>
      <c r="AG10" s="375"/>
      <c r="AH10" s="375"/>
      <c r="AI10" s="375"/>
      <c r="AJ10" s="375"/>
      <c r="AK10" s="375"/>
      <c r="AL10" s="332"/>
      <c r="AM10" s="2276"/>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80"/>
      <c r="F11" s="2280"/>
      <c r="G11" s="2280"/>
      <c r="H11" s="2280"/>
      <c r="I11" s="2277"/>
      <c r="J11" s="1371"/>
      <c r="K11" s="1371"/>
      <c r="L11" s="1372"/>
      <c r="M11" s="545"/>
      <c r="P11" s="2278"/>
      <c r="Q11" s="1339"/>
      <c r="R11" s="364"/>
      <c r="S11" s="1286"/>
      <c r="T11" s="373" t="s">
        <v>429</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80"/>
      <c r="F12" s="2280"/>
      <c r="G12" s="2280"/>
      <c r="H12" s="2279"/>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80"/>
      <c r="F13" s="2280"/>
      <c r="G13" s="2279"/>
      <c r="H13" s="1322"/>
      <c r="I13" s="1322"/>
      <c r="J13" s="1322"/>
      <c r="K13" s="1322"/>
      <c r="L13" s="1347"/>
      <c r="M13" s="1323"/>
      <c r="N13" s="1323"/>
      <c r="P13" s="1324"/>
      <c r="Q13" s="1325"/>
      <c r="R13" s="1324"/>
      <c r="S13" s="1326"/>
      <c r="T13" s="1327" t="s">
        <v>431</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80"/>
      <c r="F14" s="2279"/>
      <c r="G14" s="1322"/>
      <c r="H14" s="1322"/>
      <c r="I14" s="1322"/>
      <c r="J14" s="1322"/>
      <c r="K14" s="1322"/>
      <c r="L14" s="1347"/>
      <c r="M14" s="1329"/>
      <c r="N14" s="1329"/>
      <c r="P14" s="1324"/>
      <c r="Q14" s="1325"/>
      <c r="R14" s="1324"/>
      <c r="S14" s="1330"/>
      <c r="T14" s="1331" t="s">
        <v>432</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79"/>
      <c r="F15" s="1322"/>
      <c r="G15" s="1322"/>
      <c r="H15" s="1322"/>
      <c r="I15" s="1322"/>
      <c r="J15" s="1322"/>
      <c r="K15" s="1322"/>
      <c r="L15" s="1347"/>
      <c r="M15" s="1329"/>
      <c r="N15" s="1329"/>
      <c r="P15" s="1324"/>
      <c r="Q15" s="1325"/>
      <c r="R15" s="1324"/>
      <c r="S15" s="1330"/>
      <c r="T15" s="1333" t="s">
        <v>433</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88"/>
      <c r="AI17" s="2289" t="s">
        <v>61</v>
      </c>
      <c r="AJ17" s="2288"/>
      <c r="AK17" s="2289" t="s">
        <v>61</v>
      </c>
      <c r="AS17" s="1163">
        <v>0</v>
      </c>
    </row>
    <row customHeight="1" ht="14.25" hidden="1">
      <c r="AD18" s="1368"/>
      <c r="AE18" s="1368"/>
      <c r="AF18" s="1368"/>
      <c r="AG18" s="336" t="str">
        <f>AH17&amp;"-"&amp;AJ17</f>
        <v>-</v>
      </c>
      <c r="AH18" s="2289"/>
      <c r="AI18" s="2289"/>
      <c r="AJ18" s="2289"/>
      <c r="AK18" s="2289"/>
      <c r="AS18" s="1163">
        <v>0</v>
      </c>
    </row>
    <row customHeight="1" ht="14.25" hidden="1">
      <c r="AK19" s="335"/>
      <c r="AS19" s="1163">
        <v>0</v>
      </c>
    </row>
    <row s="1374" customFormat="1" customHeight="1" ht="22.5" hidden="1">
      <c r="L20" s="1337"/>
      <c r="M20" s="1370"/>
      <c r="N20" s="1370"/>
      <c r="O20" s="1375" t="s">
        <v>434</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435</v>
      </c>
      <c r="P22" s="1370"/>
      <c r="Q22" s="1379"/>
      <c r="R22" s="1379"/>
      <c r="S22" s="737"/>
      <c r="T22" s="1168" t="s">
        <v>436</v>
      </c>
      <c r="AA22" s="194" t="s">
        <v>437</v>
      </c>
      <c r="AC22" s="194" t="s">
        <v>438</v>
      </c>
      <c r="AD22" s="1168" t="s">
        <v>436</v>
      </c>
      <c r="AI22" s="194" t="s">
        <v>439</v>
      </c>
      <c r="AK22" s="194" t="s">
        <v>438</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51"/>
      <c r="AS26" s="1163">
        <v>51</v>
      </c>
    </row>
    <row customHeight="1" ht="14.699999999999998">
      <c r="Q27" s="384"/>
      <c r="R27" s="384"/>
      <c r="S27" s="2270" t="str">
        <f>IF(org=0,"Не определено",org)</f>
        <v>АО "ДГК"</v>
      </c>
      <c r="T27" s="2270"/>
      <c r="U27" s="2270"/>
      <c r="V27" s="2270"/>
      <c r="W27" s="2270"/>
      <c r="X27" s="2270"/>
      <c r="Y27" s="2270"/>
      <c r="Z27" s="2270"/>
      <c r="AA27" s="2270"/>
      <c r="AB27" s="2270"/>
      <c r="AC27" s="2270"/>
      <c r="AD27" s="2270"/>
      <c r="AE27" s="2270"/>
      <c r="AF27" s="2270"/>
      <c r="AG27" s="2270"/>
      <c r="AH27" s="2270"/>
      <c r="AI27" s="2270"/>
      <c r="AJ27" s="2270"/>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58" customFormat="1" customHeight="1" ht="25.5" hidden="1">
      <c r="A29" s="1376"/>
      <c r="B29" s="1376"/>
      <c r="C29" s="1376"/>
      <c r="D29" s="1376"/>
      <c r="E29" s="1376"/>
      <c r="F29" s="1376"/>
      <c r="G29" s="1376"/>
      <c r="H29" s="1376"/>
      <c r="I29" s="1376"/>
      <c r="J29" s="1376"/>
      <c r="K29" s="1376"/>
      <c r="L29" s="1377"/>
      <c r="M29" s="1376"/>
      <c r="N29" s="1376"/>
      <c r="O29" s="1376"/>
      <c r="S29" s="2271" t="s">
        <v>41</v>
      </c>
      <c r="T29" s="2271"/>
      <c r="U29" s="1380"/>
      <c r="V29" s="2272" t="str">
        <f>IF(TITLE_NAME_OR_PR_CHANGE="",IF(TITLE_NAME_OR_PR="","",TITLE_NAME_OR_PR),TITLE_NAME_OR_PR_CHANGE)</f>
        <v/>
      </c>
      <c r="W29" s="2272"/>
      <c r="X29" s="2272"/>
      <c r="Y29" s="2272"/>
      <c r="Z29" s="2272"/>
      <c r="AA29" s="2272"/>
      <c r="AB29" s="2272"/>
      <c r="AC29" s="334"/>
      <c r="AD29" s="2272" t="str">
        <f>IF(TITLE_NAME_OR_PR_CHANGE="",IF(TITLE_NAME_OR_PR="","",TITLE_NAME_OR_PR),TITLE_NAME_OR_PR_CHANGE)</f>
        <v/>
      </c>
      <c r="AE29" s="2272"/>
      <c r="AF29" s="2272"/>
      <c r="AG29" s="2272"/>
      <c r="AH29" s="2272"/>
      <c r="AI29" s="2272"/>
      <c r="AJ29" s="2272"/>
      <c r="AK29" s="334"/>
      <c r="AL29" s="334"/>
      <c r="AM29" s="288"/>
      <c r="AN29" s="376"/>
      <c r="AO29" s="376"/>
      <c r="AP29" s="376"/>
      <c r="AQ29" s="376"/>
      <c r="AR29" s="376"/>
      <c r="AS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440</v>
      </c>
      <c r="T30" s="2271"/>
      <c r="U30" s="1380"/>
      <c r="V30" s="2285" t="str">
        <f>IF(TITLE_DATE_PR_CHANGE="",IF(TITLE_DATE_PR="","",TITLE_DATE_PR),TITLE_DATE_PR_CHANGE)</f>
        <v/>
      </c>
      <c r="W30" s="2285"/>
      <c r="X30" s="2285"/>
      <c r="Y30" s="2285"/>
      <c r="Z30" s="2285"/>
      <c r="AA30" s="2285"/>
      <c r="AB30" s="2285"/>
      <c r="AC30" s="334"/>
      <c r="AD30" s="2285" t="str">
        <f>IF(TITLE_DATE_PR_CHANGE="",IF(TITLE_DATE_PR="","",TITLE_DATE_PR),TITLE_DATE_PR_CHANGE)</f>
        <v/>
      </c>
      <c r="AE30" s="2285"/>
      <c r="AF30" s="2285"/>
      <c r="AG30" s="2285"/>
      <c r="AH30" s="2285"/>
      <c r="AI30" s="2285"/>
      <c r="AJ30" s="2285"/>
      <c r="AK30" s="334"/>
      <c r="AL30" s="334"/>
      <c r="AM30" s="288"/>
      <c r="AN30" s="376"/>
      <c r="AO30" s="376"/>
      <c r="AP30" s="376"/>
      <c r="AQ30" s="376"/>
      <c r="AR30" s="376"/>
      <c r="AS30" s="426">
        <v>0</v>
      </c>
    </row>
    <row s="1858" customFormat="1" customHeight="1" ht="18.75" hidden="1">
      <c r="A31" s="1376"/>
      <c r="B31" s="1376"/>
      <c r="C31" s="1376"/>
      <c r="D31" s="1376"/>
      <c r="E31" s="1376"/>
      <c r="F31" s="1376"/>
      <c r="G31" s="1376"/>
      <c r="H31" s="1376"/>
      <c r="I31" s="1376"/>
      <c r="J31" s="1376"/>
      <c r="K31" s="1376"/>
      <c r="L31" s="1377"/>
      <c r="M31" s="1376"/>
      <c r="N31" s="1376"/>
      <c r="O31" s="1376"/>
      <c r="S31" s="2271" t="s">
        <v>441</v>
      </c>
      <c r="T31" s="2271"/>
      <c r="U31" s="1380"/>
      <c r="V31" s="2272" t="str">
        <f>IF(TITLE_NUMBER_PR_CHANGE="",IF(TITLE_NUMBER_PR="","",TITLE_NUMBER_PR),TITLE_NUMBER_PR_CHANGE)</f>
        <v/>
      </c>
      <c r="W31" s="2272"/>
      <c r="X31" s="2272"/>
      <c r="Y31" s="2272"/>
      <c r="Z31" s="2272"/>
      <c r="AA31" s="2272"/>
      <c r="AB31" s="2272"/>
      <c r="AC31" s="334"/>
      <c r="AD31" s="2272" t="str">
        <f>IF(TITLE_NUMBER_PR_CHANGE="",IF(TITLE_NUMBER_PR="","",TITLE_NUMBER_PR),TITLE_NUMBER_PR_CHANGE)</f>
        <v/>
      </c>
      <c r="AE31" s="2272"/>
      <c r="AF31" s="2272"/>
      <c r="AG31" s="2272"/>
      <c r="AH31" s="2272"/>
      <c r="AI31" s="2272"/>
      <c r="AJ31" s="2272"/>
      <c r="AK31" s="334"/>
      <c r="AL31" s="334"/>
      <c r="AM31" s="288"/>
      <c r="AN31" s="376"/>
      <c r="AO31" s="376"/>
      <c r="AP31" s="376"/>
      <c r="AQ31" s="376"/>
      <c r="AR31" s="376"/>
      <c r="AS31" s="426">
        <v>0</v>
      </c>
    </row>
    <row s="1858" customFormat="1" customHeight="1" ht="18.75" hidden="1">
      <c r="A32" s="1376"/>
      <c r="B32" s="1376"/>
      <c r="C32" s="1376"/>
      <c r="D32" s="1376"/>
      <c r="E32" s="1376"/>
      <c r="F32" s="1376"/>
      <c r="G32" s="1376"/>
      <c r="H32" s="1376"/>
      <c r="I32" s="1376"/>
      <c r="J32" s="1376"/>
      <c r="K32" s="1376"/>
      <c r="L32" s="1377"/>
      <c r="M32" s="1376"/>
      <c r="N32" s="1376"/>
      <c r="O32" s="1376"/>
      <c r="S32" s="2271" t="s">
        <v>42</v>
      </c>
      <c r="T32" s="2271"/>
      <c r="U32" s="1380"/>
      <c r="V32" s="2272" t="str">
        <f>IF(TITLE_IST_PUB_CHANGE="",IF(TITLE_IST_PUB="","",TITLE_IST_PUB),TITLE_IST_PUB_CHANGE)</f>
        <v/>
      </c>
      <c r="W32" s="2272"/>
      <c r="X32" s="2272"/>
      <c r="Y32" s="2272"/>
      <c r="Z32" s="2272"/>
      <c r="AA32" s="2272"/>
      <c r="AB32" s="2272"/>
      <c r="AC32" s="334"/>
      <c r="AD32" s="2272" t="str">
        <f>IF(TITLE_IST_PUB_CHANGE="",IF(TITLE_IST_PUB="","",TITLE_IST_PUB),TITLE_IST_PUB_CHANGE)</f>
        <v/>
      </c>
      <c r="AE32" s="2272"/>
      <c r="AF32" s="2272"/>
      <c r="AG32" s="2272"/>
      <c r="AH32" s="2272"/>
      <c r="AI32" s="2272"/>
      <c r="AJ32" s="2272"/>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58" customFormat="1" customHeight="1" ht="18.75" hidden="1">
      <c r="A34" s="1376"/>
      <c r="B34" s="1376"/>
      <c r="C34" s="1376"/>
      <c r="D34" s="1376"/>
      <c r="E34" s="1376"/>
      <c r="F34" s="1376"/>
      <c r="G34" s="1376"/>
      <c r="H34" s="1376"/>
      <c r="I34" s="1376"/>
      <c r="J34" s="1376"/>
      <c r="K34" s="1376"/>
      <c r="L34" s="1377"/>
      <c r="M34" s="1376"/>
      <c r="N34" s="1376"/>
      <c r="O34" s="1376"/>
      <c r="S34" s="2271" t="s">
        <v>442</v>
      </c>
      <c r="T34" s="2271"/>
      <c r="U34" s="1380"/>
      <c r="V34" s="2285" t="str">
        <f>IF(TITLE_DATE_PR_CHANGE="",IF(TITLE_DATE_PR="","",TITLE_DATE_PR),TITLE_DATE_PR_CHANGE)</f>
        <v/>
      </c>
      <c r="W34" s="2285"/>
      <c r="X34" s="2285"/>
      <c r="Y34" s="2285"/>
      <c r="Z34" s="2285"/>
      <c r="AA34" s="2285"/>
      <c r="AB34" s="2285"/>
      <c r="AC34" s="334"/>
      <c r="AD34" s="2285" t="str">
        <f>IF(TITLE_DATE_PR_CHANGE="",IF(TITLE_DATE_PR="","",TITLE_DATE_PR),TITLE_DATE_PR_CHANGE)</f>
        <v/>
      </c>
      <c r="AE34" s="2285"/>
      <c r="AF34" s="2285"/>
      <c r="AG34" s="2285"/>
      <c r="AH34" s="2285"/>
      <c r="AI34" s="2285"/>
      <c r="AJ34" s="2285"/>
      <c r="AK34" s="334"/>
      <c r="AL34" s="334"/>
      <c r="AM34" s="288"/>
      <c r="AN34" s="376"/>
      <c r="AO34" s="376"/>
      <c r="AP34" s="376"/>
      <c r="AQ34" s="376"/>
      <c r="AR34" s="376"/>
      <c r="AS34" s="426">
        <v>0</v>
      </c>
    </row>
    <row s="1858" customFormat="1" customHeight="1" ht="25.5" hidden="1">
      <c r="A35" s="1376"/>
      <c r="B35" s="1376"/>
      <c r="C35" s="1376"/>
      <c r="D35" s="1376"/>
      <c r="E35" s="1376"/>
      <c r="F35" s="1376"/>
      <c r="G35" s="1376"/>
      <c r="H35" s="1376"/>
      <c r="I35" s="1376"/>
      <c r="J35" s="1376"/>
      <c r="K35" s="1376"/>
      <c r="L35" s="1377"/>
      <c r="M35" s="1376"/>
      <c r="N35" s="1376"/>
      <c r="O35" s="1376"/>
      <c r="S35" s="2271" t="s">
        <v>443</v>
      </c>
      <c r="T35" s="2271"/>
      <c r="U35" s="1380"/>
      <c r="V35" s="2272" t="str">
        <f>IF(TITLE_NUMBER_PR_CHANGE="",IF(TITLE_NUMBER_PR="","",TITLE_NUMBER_PR),TITLE_NUMBER_PR_CHANGE)</f>
        <v/>
      </c>
      <c r="W35" s="2272"/>
      <c r="X35" s="2272"/>
      <c r="Y35" s="2272"/>
      <c r="Z35" s="2272"/>
      <c r="AA35" s="2272"/>
      <c r="AB35" s="2272"/>
      <c r="AC35" s="334"/>
      <c r="AD35" s="2272" t="str">
        <f>IF(TITLE_NUMBER_PR_CHANGE="",IF(TITLE_NUMBER_PR="","",TITLE_NUMBER_PR),TITLE_NUMBER_PR_CHANGE)</f>
        <v/>
      </c>
      <c r="AE35" s="2272"/>
      <c r="AF35" s="2272"/>
      <c r="AG35" s="2272"/>
      <c r="AH35" s="2272"/>
      <c r="AI35" s="2272"/>
      <c r="AJ35" s="2272"/>
      <c r="AK35" s="334"/>
      <c r="AL35" s="334"/>
      <c r="AM35" s="288"/>
      <c r="AN35" s="376"/>
      <c r="AO35" s="376"/>
      <c r="AP35" s="376"/>
      <c r="AQ35" s="376"/>
      <c r="AR35" s="376"/>
      <c r="AS35" s="426">
        <v>0</v>
      </c>
    </row>
    <row s="1858"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444</v>
      </c>
      <c r="AD36" s="334"/>
      <c r="AE36" s="334"/>
      <c r="AF36" s="334"/>
      <c r="AG36" s="334"/>
      <c r="AH36" s="334"/>
      <c r="AI36" s="334"/>
      <c r="AJ36" s="334"/>
      <c r="AK36" s="286" t="s">
        <v>444</v>
      </c>
      <c r="AN36" s="376"/>
      <c r="AO36" s="376"/>
      <c r="AP36" s="376"/>
      <c r="AQ36" s="376"/>
      <c r="AR36" s="376"/>
      <c r="AS36" s="426">
        <v>0</v>
      </c>
    </row>
    <row customHeight="1" ht="14.699999999999998">
      <c r="Q37" s="384"/>
      <c r="R37" s="384"/>
      <c r="S37" s="1283"/>
      <c r="T37" s="371"/>
      <c r="U37" s="1252"/>
      <c r="V37" s="2273"/>
      <c r="W37" s="2273"/>
      <c r="X37" s="2273"/>
      <c r="Y37" s="2273"/>
      <c r="Z37" s="2273"/>
      <c r="AA37" s="2273"/>
      <c r="AB37" s="2273"/>
      <c r="AC37" s="2273"/>
      <c r="AD37" s="2273"/>
      <c r="AE37" s="2273"/>
      <c r="AF37" s="2273"/>
      <c r="AG37" s="2273"/>
      <c r="AH37" s="2273"/>
      <c r="AI37" s="2273"/>
      <c r="AJ37" s="2273"/>
      <c r="AK37" s="2273"/>
      <c r="AS37" s="1163">
        <v>14</v>
      </c>
    </row>
    <row customHeight="1" ht="14.699999999999998">
      <c r="Q38" s="384"/>
      <c r="R38" s="384"/>
      <c r="S38" s="2148" t="s">
        <v>317</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318</v>
      </c>
      <c r="AS38" s="1163">
        <v>14</v>
      </c>
    </row>
    <row customHeight="1" ht="14.699999999999998">
      <c r="Q39" s="384"/>
      <c r="R39" s="384"/>
      <c r="S39" s="2294" t="s">
        <v>88</v>
      </c>
      <c r="T39" s="2230" t="s">
        <v>445</v>
      </c>
      <c r="U39" s="309"/>
      <c r="V39" s="2295" t="s">
        <v>446</v>
      </c>
      <c r="W39" s="2296"/>
      <c r="X39" s="2296"/>
      <c r="Y39" s="2296"/>
      <c r="Z39" s="2296"/>
      <c r="AA39" s="2296"/>
      <c r="AB39" s="2297"/>
      <c r="AC39" s="2298" t="s">
        <v>447</v>
      </c>
      <c r="AD39" s="2295" t="s">
        <v>446</v>
      </c>
      <c r="AE39" s="2296"/>
      <c r="AF39" s="2296"/>
      <c r="AG39" s="2296"/>
      <c r="AH39" s="2296"/>
      <c r="AI39" s="2296"/>
      <c r="AJ39" s="2297"/>
      <c r="AK39" s="2298" t="s">
        <v>448</v>
      </c>
      <c r="AL39" s="2301" t="s">
        <v>449</v>
      </c>
      <c r="AM39" s="2148"/>
      <c r="AS39" s="1163">
        <v>14</v>
      </c>
    </row>
    <row customHeight="1" ht="35.699999999999996">
      <c r="Q40" s="384"/>
      <c r="R40" s="384"/>
      <c r="S40" s="2294"/>
      <c r="T40" s="2230"/>
      <c r="U40" s="1039"/>
      <c r="V40" s="2281" t="s">
        <v>450</v>
      </c>
      <c r="W40" s="2304"/>
      <c r="X40" s="2283" t="s">
        <v>452</v>
      </c>
      <c r="Y40" s="2284"/>
      <c r="Z40" s="2283" t="s">
        <v>453</v>
      </c>
      <c r="AA40" s="2290"/>
      <c r="AB40" s="2284"/>
      <c r="AC40" s="2299"/>
      <c r="AD40" s="2281" t="s">
        <v>467</v>
      </c>
      <c r="AE40" s="2304"/>
      <c r="AF40" s="2283" t="s">
        <v>452</v>
      </c>
      <c r="AG40" s="2284"/>
      <c r="AH40" s="2283" t="s">
        <v>453</v>
      </c>
      <c r="AI40" s="2290"/>
      <c r="AJ40" s="2284"/>
      <c r="AK40" s="2299"/>
      <c r="AL40" s="2302"/>
      <c r="AM40" s="2148"/>
      <c r="AS40" s="1163">
        <v>34</v>
      </c>
    </row>
    <row customHeight="1" ht="35.699999999999996">
      <c r="A41" s="1378"/>
      <c r="B41" s="1378" t="s">
        <v>154</v>
      </c>
      <c r="C41" s="1378" t="s">
        <v>155</v>
      </c>
      <c r="D41" s="1378" t="s">
        <v>156</v>
      </c>
      <c r="E41" s="1372" t="s">
        <v>454</v>
      </c>
      <c r="F41" s="1372" t="s">
        <v>455</v>
      </c>
      <c r="G41" s="1372" t="s">
        <v>456</v>
      </c>
      <c r="H41" s="1372" t="s">
        <v>457</v>
      </c>
      <c r="I41" s="1372" t="s">
        <v>458</v>
      </c>
      <c r="J41" s="1372" t="s">
        <v>459</v>
      </c>
      <c r="K41" s="1372" t="s">
        <v>460</v>
      </c>
      <c r="L41" s="1372" t="s">
        <v>435</v>
      </c>
      <c r="Q41" s="384"/>
      <c r="R41" s="384"/>
      <c r="S41" s="2294"/>
      <c r="T41" s="2230"/>
      <c r="U41" s="310"/>
      <c r="V41" s="2282"/>
      <c r="W41" s="2305"/>
      <c r="X41" s="1230" t="s">
        <v>461</v>
      </c>
      <c r="Y41" s="1230" t="s">
        <v>462</v>
      </c>
      <c r="Z41" s="1346" t="s">
        <v>463</v>
      </c>
      <c r="AA41" s="2291" t="s">
        <v>464</v>
      </c>
      <c r="AB41" s="2292"/>
      <c r="AC41" s="2300"/>
      <c r="AD41" s="2282"/>
      <c r="AE41" s="2305"/>
      <c r="AF41" s="1230" t="s">
        <v>461</v>
      </c>
      <c r="AG41" s="1230" t="s">
        <v>462</v>
      </c>
      <c r="AH41" s="1346" t="s">
        <v>463</v>
      </c>
      <c r="AI41" s="2291" t="s">
        <v>464</v>
      </c>
      <c r="AJ41" s="2292"/>
      <c r="AK41" s="2300"/>
      <c r="AL41" s="2303"/>
      <c r="AM41" s="2148"/>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93">
        <f>OFFSET(AA42,0,-1)+1</f>
        <v>4</v>
      </c>
      <c r="AB42" s="2293"/>
      <c r="AC42" s="1343">
        <f>OFFSET(AC42,0,-2)+1</f>
        <v>5</v>
      </c>
      <c r="AD42" s="1343">
        <f>OFFSET(AD42,0,-1)+1</f>
        <v>6</v>
      </c>
      <c r="AE42" s="1343"/>
      <c r="AF42" s="1343">
        <f>OFFSET(AF42,0,-1)+1</f>
        <v>1</v>
      </c>
      <c r="AG42" s="1343">
        <f>OFFSET(AG42,0,-1)+1</f>
        <v>2</v>
      </c>
      <c r="AH42" s="1343">
        <f>OFFSET(AH42,0,-1)+1</f>
        <v>3</v>
      </c>
      <c r="AI42" s="2293">
        <f>OFFSET(AI42,0,-1)+1</f>
        <v>4</v>
      </c>
      <c r="AJ42" s="2293"/>
      <c r="AK42" s="1343">
        <f>OFFSET(AK42,0,-2)+1</f>
        <v>5</v>
      </c>
      <c r="AL42" s="1253">
        <f>OFFSET(AL42,0,-1)</f>
        <v>5</v>
      </c>
      <c r="AM42" s="1343">
        <f>OFFSET(AM42,0,-1)+1</f>
        <v>6</v>
      </c>
      <c r="AN42" s="519"/>
      <c r="AO42" s="519"/>
      <c r="AP42" s="519"/>
      <c r="AQ42" s="519"/>
      <c r="AR42" s="519"/>
      <c r="AS42" s="504">
        <v>0</v>
      </c>
    </row>
    <row customHeight="1" ht="22.049999999999997">
      <c r="A43" s="1371" t="s">
        <v>205</v>
      </c>
      <c r="B43" s="1371"/>
      <c r="C43" s="1371"/>
      <c r="D43" s="1371"/>
      <c r="E43" s="2279">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142</v>
      </c>
      <c r="U43" s="308"/>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205</v>
      </c>
      <c r="B44" s="1371" t="s">
        <v>206</v>
      </c>
      <c r="C44" s="1371"/>
      <c r="D44" s="1371"/>
      <c r="E44" s="2280"/>
      <c r="F44" s="2279">
        <v>1</v>
      </c>
      <c r="G44" s="1371"/>
      <c r="H44" s="1371"/>
      <c r="I44" s="1371"/>
      <c r="J44" s="1371"/>
      <c r="K44" s="1371"/>
      <c r="L44" s="1372"/>
      <c r="M44" s="1373"/>
      <c r="N44" s="1373"/>
      <c r="O44" s="1373"/>
      <c r="P44" s="1340"/>
      <c r="Q44" s="360"/>
      <c r="R44" s="361"/>
      <c r="S44" s="1344" t="str">
        <f>INDEX(PT_DIFFERENTIATION_NUM_TER,MATCH(B44,PT_DIFFERENTIATION_TER_ID,0))</f>
        <v>.</v>
      </c>
      <c r="T44" s="316" t="s">
        <v>414</v>
      </c>
      <c r="U44" s="308"/>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6" t="s">
        <v>415</v>
      </c>
      <c r="AO44" s="508"/>
      <c r="AP44" s="508" t="str">
        <f>IF(T44="","",T44)</f>
        <v>Территория действия тарифа</v>
      </c>
      <c r="AQ44" s="508"/>
      <c r="AR44" s="508"/>
      <c r="AS44" s="1163">
        <v>21</v>
      </c>
    </row>
    <row customHeight="1" ht="24">
      <c r="A45" s="1371" t="s">
        <v>205</v>
      </c>
      <c r="B45" s="1371" t="s">
        <v>206</v>
      </c>
      <c r="C45" s="1371" t="s">
        <v>207</v>
      </c>
      <c r="D45" s="1371"/>
      <c r="E45" s="2280"/>
      <c r="F45" s="2280"/>
      <c r="G45" s="2279">
        <v>1</v>
      </c>
      <c r="H45" s="1371"/>
      <c r="I45" s="1371"/>
      <c r="J45" s="1371"/>
      <c r="K45" s="1371"/>
      <c r="L45" s="1372"/>
      <c r="M45" s="1373"/>
      <c r="N45" s="1373"/>
      <c r="O45" s="1373"/>
      <c r="P45" s="362"/>
      <c r="Q45" s="360"/>
      <c r="R45" s="361"/>
      <c r="S45" s="1344" t="str">
        <f>INDEX(PT_DIFFERENTIATION_NUM_CS,MATCH(C45,PT_DIFFERENTIATION_CS_ID,0))</f>
        <v>..</v>
      </c>
      <c r="T45" s="317" t="s">
        <v>416</v>
      </c>
      <c r="U45" s="308"/>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6" t="s">
        <v>417</v>
      </c>
      <c r="AO45" s="508"/>
      <c r="AP45" s="508" t="str">
        <f>IF(T45="","",T45)</f>
        <v>Наименование системы теплоснабжения </v>
      </c>
      <c r="AQ45" s="508"/>
      <c r="AR45" s="508"/>
      <c r="AS45" s="1163">
        <v>23</v>
      </c>
    </row>
    <row customHeight="1" ht="22.049999999999997">
      <c r="A46" s="1371" t="s">
        <v>205</v>
      </c>
      <c r="B46" s="1371" t="s">
        <v>206</v>
      </c>
      <c r="C46" s="1371" t="s">
        <v>207</v>
      </c>
      <c r="D46" s="1371" t="s">
        <v>208</v>
      </c>
      <c r="E46" s="2280"/>
      <c r="F46" s="2280"/>
      <c r="G46" s="2280"/>
      <c r="H46" s="2279">
        <v>1</v>
      </c>
      <c r="I46" s="1371"/>
      <c r="J46" s="1371"/>
      <c r="K46" s="1371"/>
      <c r="L46" s="1372"/>
      <c r="M46" s="1373"/>
      <c r="N46" s="1373"/>
      <c r="O46" s="1373"/>
      <c r="P46" s="362"/>
      <c r="Q46" s="360"/>
      <c r="R46" s="361"/>
      <c r="S46" s="1344" t="str">
        <f>INDEX(PT_DIFFERENTIATION_NUM_IST_TE,MATCH(D46,PT_DIFFERENTIATION_IST_TE_ID,0))</f>
        <v>...</v>
      </c>
      <c r="T46" s="318" t="s">
        <v>418</v>
      </c>
      <c r="U46" s="308"/>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6" t="s">
        <v>419</v>
      </c>
      <c r="AO46" s="508"/>
      <c r="AP46" s="508" t="str">
        <f>IF(T46="","",T46)</f>
        <v>Источник тепловой энергии  </v>
      </c>
      <c r="AQ46" s="508"/>
      <c r="AR46" s="508"/>
      <c r="AS46" s="1163">
        <v>21</v>
      </c>
    </row>
    <row s="1650" customFormat="1" customHeight="1" ht="0">
      <c r="A47" s="1351" t="s">
        <v>205</v>
      </c>
      <c r="B47" s="1351" t="s">
        <v>206</v>
      </c>
      <c r="C47" s="1351" t="s">
        <v>207</v>
      </c>
      <c r="D47" s="1351" t="s">
        <v>208</v>
      </c>
      <c r="E47" s="2280"/>
      <c r="F47" s="2280"/>
      <c r="G47" s="2280"/>
      <c r="H47" s="2280"/>
      <c r="I47" s="2277" t="str">
        <f>S46&amp;".1"</f>
        <v>....1</v>
      </c>
      <c r="J47" s="1351"/>
      <c r="K47" s="1351"/>
      <c r="L47" s="1354" t="s">
        <v>420</v>
      </c>
      <c r="M47" s="518"/>
      <c r="N47" s="518"/>
      <c r="O47" s="518"/>
      <c r="P47" s="2278">
        <v>1</v>
      </c>
      <c r="Q47" s="1339"/>
      <c r="R47" s="364"/>
      <c r="S47" s="1050"/>
      <c r="T47" s="1391"/>
      <c r="U47" s="1392"/>
      <c r="V47" s="2317"/>
      <c r="W47" s="2318"/>
      <c r="X47" s="2318"/>
      <c r="Y47" s="2318"/>
      <c r="Z47" s="2318"/>
      <c r="AA47" s="2318"/>
      <c r="AB47" s="2318"/>
      <c r="AC47" s="2319"/>
      <c r="AD47" s="2317"/>
      <c r="AE47" s="2318"/>
      <c r="AF47" s="2318"/>
      <c r="AG47" s="2318"/>
      <c r="AH47" s="2318"/>
      <c r="AI47" s="2318"/>
      <c r="AJ47" s="2318"/>
      <c r="AK47" s="2318"/>
      <c r="AL47" s="2319"/>
      <c r="AM47" s="1393"/>
      <c r="AO47" s="508"/>
      <c r="AP47" s="508" t="str">
        <f>IF(T47="","",T47)</f>
        <v/>
      </c>
      <c r="AQ47" s="508"/>
      <c r="AR47" s="508"/>
      <c r="AS47" s="519">
        <v>0</v>
      </c>
    </row>
    <row customHeight="1" ht="22.049999999999997">
      <c r="A48" s="1371" t="s">
        <v>205</v>
      </c>
      <c r="B48" s="1371" t="s">
        <v>206</v>
      </c>
      <c r="C48" s="1371" t="s">
        <v>207</v>
      </c>
      <c r="D48" s="1371" t="s">
        <v>208</v>
      </c>
      <c r="E48" s="2280"/>
      <c r="F48" s="2280"/>
      <c r="G48" s="2280"/>
      <c r="H48" s="2280"/>
      <c r="I48" s="2307"/>
      <c r="J48" s="2277" t="str">
        <f>S46&amp;".1"</f>
        <v>....1</v>
      </c>
      <c r="K48" s="1371"/>
      <c r="L48" s="1372" t="s">
        <v>423</v>
      </c>
      <c r="P48" s="2278"/>
      <c r="Q48" s="2278">
        <v>1</v>
      </c>
      <c r="R48" s="365"/>
      <c r="S48" s="1344" t="str">
        <f>$J48</f>
        <v>....1</v>
      </c>
      <c r="T48" s="294" t="s">
        <v>424</v>
      </c>
      <c r="U48" s="308"/>
      <c r="V48" s="2266"/>
      <c r="W48" s="2267"/>
      <c r="X48" s="2267"/>
      <c r="Y48" s="2267"/>
      <c r="Z48" s="2267"/>
      <c r="AA48" s="2267"/>
      <c r="AB48" s="2267"/>
      <c r="AC48" s="2268"/>
      <c r="AD48" s="2266"/>
      <c r="AE48" s="2267"/>
      <c r="AF48" s="2267"/>
      <c r="AG48" s="2267"/>
      <c r="AH48" s="2267"/>
      <c r="AI48" s="2267"/>
      <c r="AJ48" s="2267"/>
      <c r="AK48" s="2267"/>
      <c r="AL48" s="2268"/>
      <c r="AM48" s="1266" t="s">
        <v>425</v>
      </c>
      <c r="AO48" s="508"/>
      <c r="AP48" s="508" t="str">
        <f>IF(T48="","",T48)</f>
        <v>Группа потребителей</v>
      </c>
      <c r="AQ48" s="508"/>
      <c r="AR48" s="508"/>
      <c r="AS48" s="1163">
        <v>21</v>
      </c>
    </row>
    <row customHeight="1" ht="22.049999999999997">
      <c r="A49" s="1371" t="s">
        <v>205</v>
      </c>
      <c r="B49" s="1371" t="s">
        <v>206</v>
      </c>
      <c r="C49" s="1371" t="s">
        <v>207</v>
      </c>
      <c r="D49" s="1371" t="s">
        <v>208</v>
      </c>
      <c r="E49" s="2280"/>
      <c r="F49" s="2280"/>
      <c r="G49" s="2280"/>
      <c r="H49" s="2280"/>
      <c r="I49" s="2307"/>
      <c r="J49" s="2307"/>
      <c r="K49" s="2277" t="str">
        <f>J48&amp;".1"</f>
        <v>....1.1</v>
      </c>
      <c r="L49" s="1372" t="s">
        <v>426</v>
      </c>
      <c r="P49" s="2278"/>
      <c r="Q49" s="2278"/>
      <c r="R49" s="365">
        <v>1</v>
      </c>
      <c r="S49" s="1344" t="str">
        <f>$K49</f>
        <v>....1.1</v>
      </c>
      <c r="T49" s="1355"/>
      <c r="U49" s="308"/>
      <c r="V49" s="759"/>
      <c r="W49" s="333"/>
      <c r="X49" s="759"/>
      <c r="Y49" s="1265"/>
      <c r="Z49" s="2286"/>
      <c r="AA49" s="2128" t="s">
        <v>61</v>
      </c>
      <c r="AB49" s="2286"/>
      <c r="AC49" s="2128" t="s">
        <v>61</v>
      </c>
      <c r="AD49" s="759"/>
      <c r="AE49" s="333"/>
      <c r="AF49" s="759"/>
      <c r="AG49" s="1265"/>
      <c r="AH49" s="2286"/>
      <c r="AI49" s="2128" t="s">
        <v>61</v>
      </c>
      <c r="AJ49" s="2308"/>
      <c r="AK49" s="2128" t="s">
        <v>61</v>
      </c>
      <c r="AL49" s="1356"/>
      <c r="AM49" s="2274" t="s">
        <v>468</v>
      </c>
      <c r="AN49" s="519">
        <f>STRCHECKDATE(V50:AL50)</f>
      </c>
      <c r="AO49" s="508"/>
      <c r="AP49" s="508" t="str">
        <f>IF(T49="","",T49)</f>
        <v/>
      </c>
      <c r="AQ49" s="508"/>
      <c r="AR49" s="508"/>
      <c r="AS49" s="1163">
        <v>21</v>
      </c>
    </row>
    <row customHeight="1" ht="0">
      <c r="A50" s="1371" t="s">
        <v>205</v>
      </c>
      <c r="B50" s="1371" t="s">
        <v>206</v>
      </c>
      <c r="C50" s="1371" t="s">
        <v>207</v>
      </c>
      <c r="D50" s="1371" t="s">
        <v>208</v>
      </c>
      <c r="E50" s="2280"/>
      <c r="F50" s="2280"/>
      <c r="G50" s="2280"/>
      <c r="H50" s="2280"/>
      <c r="I50" s="2307"/>
      <c r="J50" s="2307"/>
      <c r="K50" s="2277"/>
      <c r="L50" s="1372"/>
      <c r="P50" s="2278"/>
      <c r="Q50" s="2278"/>
      <c r="R50" s="365"/>
      <c r="S50" s="1350"/>
      <c r="T50" s="308"/>
      <c r="U50" s="308"/>
      <c r="V50" s="333"/>
      <c r="W50" s="333"/>
      <c r="X50" s="333"/>
      <c r="Y50" s="336" t="str">
        <f>Z49&amp;"-"&amp;AB49</f>
        <v>-</v>
      </c>
      <c r="Z50" s="2287"/>
      <c r="AA50" s="2128"/>
      <c r="AB50" s="2287"/>
      <c r="AC50" s="2128"/>
      <c r="AD50" s="333"/>
      <c r="AE50" s="333"/>
      <c r="AF50" s="333"/>
      <c r="AG50" s="336" t="str">
        <f>AH49&amp;"-"&amp;AJ49</f>
        <v>-</v>
      </c>
      <c r="AH50" s="2287"/>
      <c r="AI50" s="2128"/>
      <c r="AJ50" s="2309"/>
      <c r="AK50" s="2128"/>
      <c r="AL50" s="1357"/>
      <c r="AM50" s="2275"/>
      <c r="AO50" s="508"/>
      <c r="AP50" s="508" t="str">
        <f>IF(T50="","",T50)</f>
        <v/>
      </c>
      <c r="AQ50" s="508"/>
      <c r="AR50" s="508"/>
      <c r="AS50" s="1163">
        <v>0</v>
      </c>
    </row>
    <row customHeight="1" ht="11.549999999999999">
      <c r="A51" s="1371" t="s">
        <v>205</v>
      </c>
      <c r="B51" s="1371" t="s">
        <v>206</v>
      </c>
      <c r="C51" s="1371" t="s">
        <v>207</v>
      </c>
      <c r="D51" s="1371" t="s">
        <v>208</v>
      </c>
      <c r="E51" s="2280"/>
      <c r="F51" s="2280"/>
      <c r="G51" s="2280"/>
      <c r="H51" s="2280"/>
      <c r="I51" s="2307"/>
      <c r="J51" s="2277"/>
      <c r="K51" s="1371"/>
      <c r="L51" s="1372"/>
      <c r="P51" s="2278"/>
      <c r="Q51" s="2278"/>
      <c r="R51" s="364"/>
      <c r="S51" s="1286"/>
      <c r="T51" s="295" t="s">
        <v>428</v>
      </c>
      <c r="U51" s="375"/>
      <c r="V51" s="375"/>
      <c r="W51" s="375"/>
      <c r="X51" s="375"/>
      <c r="Y51" s="375"/>
      <c r="Z51" s="375"/>
      <c r="AA51" s="375"/>
      <c r="AB51" s="375"/>
      <c r="AC51" s="375"/>
      <c r="AD51" s="375"/>
      <c r="AE51" s="375"/>
      <c r="AF51" s="375"/>
      <c r="AG51" s="375"/>
      <c r="AH51" s="375"/>
      <c r="AI51" s="375"/>
      <c r="AJ51" s="375"/>
      <c r="AK51" s="375"/>
      <c r="AL51" s="332"/>
      <c r="AM51" s="2276"/>
      <c r="AO51" s="508"/>
      <c r="AP51" s="508" t="str">
        <f>IF(T51="","",T51)</f>
        <v>Добавить вид теплоносителя (параметры теплоносителя)</v>
      </c>
      <c r="AQ51" s="508"/>
      <c r="AR51" s="508"/>
      <c r="AS51" s="1163">
        <v>11</v>
      </c>
    </row>
    <row customHeight="1" ht="11.549999999999999">
      <c r="A52" s="1371" t="s">
        <v>205</v>
      </c>
      <c r="B52" s="1371" t="s">
        <v>206</v>
      </c>
      <c r="C52" s="1371" t="s">
        <v>207</v>
      </c>
      <c r="D52" s="1371" t="s">
        <v>208</v>
      </c>
      <c r="E52" s="2280"/>
      <c r="F52" s="2280"/>
      <c r="G52" s="2280"/>
      <c r="H52" s="2280"/>
      <c r="I52" s="2277"/>
      <c r="J52" s="1371"/>
      <c r="K52" s="1371"/>
      <c r="L52" s="1372"/>
      <c r="P52" s="2278"/>
      <c r="Q52" s="1339"/>
      <c r="R52" s="364"/>
      <c r="S52" s="1286"/>
      <c r="T52" s="373" t="s">
        <v>429</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205</v>
      </c>
      <c r="B53" s="1371" t="s">
        <v>206</v>
      </c>
      <c r="C53" s="1371" t="s">
        <v>207</v>
      </c>
      <c r="D53" s="1371" t="s">
        <v>208</v>
      </c>
      <c r="E53" s="2280"/>
      <c r="F53" s="2280"/>
      <c r="G53" s="2280"/>
      <c r="H53" s="2279"/>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205</v>
      </c>
      <c r="B54" s="1351" t="s">
        <v>206</v>
      </c>
      <c r="C54" s="1351" t="s">
        <v>207</v>
      </c>
      <c r="D54" s="1322"/>
      <c r="E54" s="2280"/>
      <c r="F54" s="2280"/>
      <c r="G54" s="2279"/>
      <c r="H54" s="1322"/>
      <c r="I54" s="1322"/>
      <c r="J54" s="1322"/>
      <c r="K54" s="1322"/>
      <c r="L54" s="1347"/>
      <c r="M54" s="1323"/>
      <c r="N54" s="1323"/>
      <c r="P54" s="1324"/>
      <c r="Q54" s="1325"/>
      <c r="R54" s="1324"/>
      <c r="S54" s="1330"/>
      <c r="T54" s="1333" t="s">
        <v>431</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205</v>
      </c>
      <c r="B55" s="1351" t="s">
        <v>206</v>
      </c>
      <c r="C55" s="1322"/>
      <c r="D55" s="1322"/>
      <c r="E55" s="2280"/>
      <c r="F55" s="2279"/>
      <c r="G55" s="1322"/>
      <c r="H55" s="1322"/>
      <c r="I55" s="1322"/>
      <c r="J55" s="1322"/>
      <c r="K55" s="1322"/>
      <c r="L55" s="1347"/>
      <c r="M55" s="1329"/>
      <c r="N55" s="1329"/>
      <c r="P55" s="1324"/>
      <c r="Q55" s="1325"/>
      <c r="R55" s="1324"/>
      <c r="S55" s="1330"/>
      <c r="T55" s="1333" t="s">
        <v>432</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205</v>
      </c>
      <c r="B56" s="1351"/>
      <c r="C56" s="1351"/>
      <c r="D56" s="1351"/>
      <c r="E56" s="2279"/>
      <c r="F56" s="1351"/>
      <c r="G56" s="1351"/>
      <c r="H56" s="1351"/>
      <c r="I56" s="1351"/>
      <c r="J56" s="1351"/>
      <c r="K56" s="1351"/>
      <c r="L56" s="1354"/>
      <c r="M56" s="1329"/>
      <c r="N56" s="1329"/>
      <c r="O56" s="526"/>
      <c r="P56" s="388"/>
      <c r="Q56" s="1352"/>
      <c r="R56" s="388"/>
      <c r="S56" s="1330"/>
      <c r="T56" s="1333" t="s">
        <v>433</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465</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63">
        <v>14</v>
      </c>
    </row>
    <row customHeight="1" ht="14.699999999999998">
      <c r="O60" s="54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63">
        <v>14</v>
      </c>
    </row>
    <row customHeight="1" ht="14.699999999999998">
      <c r="O61" s="545"/>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63">
        <v>14</v>
      </c>
    </row>
    <row customHeight="1" ht="14.699999999999998">
      <c r="O62" s="545"/>
      <c r="AS62" s="1163">
        <v>14</v>
      </c>
    </row>
    <row customHeight="1" ht="14.699999999999998">
      <c r="O63" s="545"/>
      <c r="S63" s="1261"/>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63">
        <v>14</v>
      </c>
    </row>
    <row customHeight="1" ht="14.699999999999998">
      <c r="O64" s="54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63">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D17DE-6BDA-F8FB-2D8C-C1D1C7C706E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52" width="3.00390625" customWidth="1"/>
    <col min="21" max="21" style="2428"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310">
        <v>1</v>
      </c>
      <c r="F2" s="1275"/>
      <c r="G2" s="1275"/>
      <c r="H2" s="1275"/>
      <c r="I2" s="1275"/>
      <c r="J2" s="1275"/>
      <c r="K2" s="1275"/>
      <c r="L2" s="1275"/>
      <c r="M2" s="1318"/>
      <c r="N2" s="696"/>
      <c r="O2" s="696"/>
      <c r="P2" s="696"/>
      <c r="Q2" s="369"/>
      <c r="R2" s="368"/>
      <c r="S2" s="368"/>
      <c r="T2" s="363"/>
      <c r="U2" s="1344">
        <f>INDEX(PT_DIFFERENTIATION_NUM_NTAR,MATCH(A2,PT_DIFFERENTIATION_NTAR_ID,0))</f>
      </c>
      <c r="V2" s="306" t="s">
        <v>142</v>
      </c>
      <c r="W2" s="308"/>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6" t="s">
        <v>413</v>
      </c>
      <c r="AS2" s="508"/>
      <c r="AT2" s="508" t="str">
        <f>IF(V2="","",V2)</f>
        <v>Наименование тарифа</v>
      </c>
      <c r="AU2" s="508"/>
      <c r="AV2" s="508"/>
      <c r="AW2" s="1163">
        <v>0</v>
      </c>
    </row>
    <row customHeight="1" ht="21" hidden="1">
      <c r="A3" s="1275"/>
      <c r="B3" s="1275"/>
      <c r="C3" s="1275"/>
      <c r="D3" s="1275"/>
      <c r="E3" s="2311"/>
      <c r="F3" s="2310">
        <v>1</v>
      </c>
      <c r="G3" s="1275"/>
      <c r="H3" s="1275"/>
      <c r="I3" s="1275"/>
      <c r="J3" s="1275"/>
      <c r="K3" s="1275"/>
      <c r="L3" s="1275"/>
      <c r="M3" s="1318"/>
      <c r="N3" s="696"/>
      <c r="O3" s="696"/>
      <c r="P3" s="696"/>
      <c r="Q3" s="1340"/>
      <c r="R3" s="360"/>
      <c r="S3" s="517"/>
      <c r="T3" s="361"/>
      <c r="U3" s="1344">
        <f>INDEX(PT_DIFFERENTIATION_NUM_TER,MATCH(B3,PT_DIFFERENTIATION_TER_ID,0))</f>
      </c>
      <c r="V3" s="316" t="s">
        <v>414</v>
      </c>
      <c r="W3" s="308"/>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6" t="s">
        <v>415</v>
      </c>
      <c r="AS3" s="508"/>
      <c r="AT3" s="508" t="str">
        <f>IF(V3="","",V3)</f>
        <v>Территория действия тарифа</v>
      </c>
      <c r="AU3" s="508"/>
      <c r="AV3" s="508"/>
      <c r="AW3" s="1163">
        <v>0</v>
      </c>
    </row>
    <row customHeight="1" ht="22.5" hidden="1">
      <c r="A4" s="1275"/>
      <c r="B4" s="1275"/>
      <c r="C4" s="1275"/>
      <c r="D4" s="1275"/>
      <c r="E4" s="2311"/>
      <c r="F4" s="2311"/>
      <c r="G4" s="2310">
        <v>1</v>
      </c>
      <c r="H4" s="1275"/>
      <c r="I4" s="1275"/>
      <c r="J4" s="1275"/>
      <c r="K4" s="1275"/>
      <c r="L4" s="1275"/>
      <c r="M4" s="1318"/>
      <c r="N4" s="696"/>
      <c r="O4" s="696"/>
      <c r="P4" s="696"/>
      <c r="Q4" s="362"/>
      <c r="R4" s="360"/>
      <c r="S4" s="517"/>
      <c r="T4" s="361"/>
      <c r="U4" s="1344">
        <f>INDEX(PT_DIFFERENTIATION_NUM_CS,MATCH(C4,PT_DIFFERENTIATION_CS_ID,0))</f>
      </c>
      <c r="V4" s="317" t="s">
        <v>416</v>
      </c>
      <c r="W4" s="308"/>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6" t="s">
        <v>417</v>
      </c>
      <c r="AS4" s="508"/>
      <c r="AT4" s="508" t="str">
        <f>IF(V4="","",V4)</f>
        <v>Наименование системы теплоснабжения </v>
      </c>
      <c r="AU4" s="508"/>
      <c r="AV4" s="508"/>
      <c r="AW4" s="1163">
        <v>0</v>
      </c>
    </row>
    <row customHeight="1" ht="21" hidden="1">
      <c r="A5" s="1275"/>
      <c r="B5" s="1275"/>
      <c r="C5" s="1275"/>
      <c r="D5" s="1275"/>
      <c r="E5" s="2311"/>
      <c r="F5" s="2311"/>
      <c r="G5" s="2311"/>
      <c r="H5" s="2310">
        <v>1</v>
      </c>
      <c r="I5" s="1275"/>
      <c r="J5" s="1275"/>
      <c r="K5" s="1275"/>
      <c r="L5" s="1275"/>
      <c r="M5" s="1318"/>
      <c r="N5" s="696"/>
      <c r="O5" s="696"/>
      <c r="P5" s="696"/>
      <c r="Q5" s="362"/>
      <c r="R5" s="360"/>
      <c r="S5" s="517"/>
      <c r="T5" s="361"/>
      <c r="U5" s="1344">
        <f>INDEX(PT_DIFFERENTIATION_NUM_IST_TE,MATCH(D5,PT_DIFFERENTIATION_IST_TE_ID,0))</f>
      </c>
      <c r="V5" s="318" t="s">
        <v>418</v>
      </c>
      <c r="W5" s="308"/>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6" t="s">
        <v>419</v>
      </c>
      <c r="AS5" s="508"/>
      <c r="AT5" s="508" t="str">
        <f>IF(V5="","",V5)</f>
        <v>Источник тепловой энергии  </v>
      </c>
      <c r="AU5" s="508"/>
      <c r="AV5" s="508"/>
      <c r="AW5" s="1163">
        <v>0</v>
      </c>
    </row>
    <row customHeight="1" ht="14.25" hidden="1">
      <c r="A6" s="1275"/>
      <c r="B6" s="1275"/>
      <c r="C6" s="1275"/>
      <c r="D6" s="1275"/>
      <c r="E6" s="2311"/>
      <c r="F6" s="2311"/>
      <c r="G6" s="2311"/>
      <c r="H6" s="2311"/>
      <c r="I6" s="2148">
        <f>U5&amp;".1"</f>
      </c>
      <c r="J6" s="1275"/>
      <c r="K6" s="1275"/>
      <c r="L6" s="1275"/>
      <c r="M6" s="1318" t="s">
        <v>420</v>
      </c>
      <c r="N6" s="517"/>
      <c r="Q6" s="2278">
        <v>1</v>
      </c>
      <c r="R6" s="1339"/>
      <c r="S6" s="1339"/>
      <c r="T6" s="364"/>
      <c r="U6" s="1050"/>
      <c r="V6" s="1391"/>
      <c r="W6" s="1392"/>
      <c r="X6" s="2317"/>
      <c r="Y6" s="2318"/>
      <c r="Z6" s="2318"/>
      <c r="AA6" s="2318"/>
      <c r="AB6" s="2318"/>
      <c r="AC6" s="2318"/>
      <c r="AD6" s="2318"/>
      <c r="AE6" s="2318"/>
      <c r="AF6" s="2319"/>
      <c r="AG6" s="2317"/>
      <c r="AH6" s="2318"/>
      <c r="AI6" s="2318"/>
      <c r="AJ6" s="2318"/>
      <c r="AK6" s="2318"/>
      <c r="AL6" s="2318"/>
      <c r="AM6" s="2318"/>
      <c r="AN6" s="2318"/>
      <c r="AO6" s="2318"/>
      <c r="AP6" s="2319"/>
      <c r="AQ6" s="1393"/>
      <c r="AS6" s="508"/>
      <c r="AT6" s="508" t="str">
        <f>IF(V6="","",V6)</f>
        <v/>
      </c>
      <c r="AU6" s="508"/>
      <c r="AV6" s="508"/>
      <c r="AW6" s="1163">
        <v>0</v>
      </c>
    </row>
    <row customHeight="1" ht="21" hidden="1">
      <c r="A7" s="1275"/>
      <c r="B7" s="1275"/>
      <c r="C7" s="1275"/>
      <c r="D7" s="1275"/>
      <c r="E7" s="2311"/>
      <c r="F7" s="2311"/>
      <c r="G7" s="2311"/>
      <c r="H7" s="2311"/>
      <c r="I7" s="2122"/>
      <c r="J7" s="2148">
        <f>I6&amp;".1"</f>
      </c>
      <c r="K7" s="1275"/>
      <c r="L7" s="1275"/>
      <c r="M7" s="1318" t="s">
        <v>423</v>
      </c>
      <c r="N7" s="517"/>
      <c r="O7" s="335"/>
      <c r="Q7" s="2278"/>
      <c r="R7" s="2278">
        <v>1</v>
      </c>
      <c r="S7" s="526"/>
      <c r="T7" s="365"/>
      <c r="U7" s="1344">
        <f>$J7</f>
      </c>
      <c r="V7" s="294" t="s">
        <v>424</v>
      </c>
      <c r="W7" s="308"/>
      <c r="X7" s="2266"/>
      <c r="Y7" s="2267"/>
      <c r="Z7" s="2267"/>
      <c r="AA7" s="2267"/>
      <c r="AB7" s="2267"/>
      <c r="AC7" s="2256"/>
      <c r="AD7" s="2256"/>
      <c r="AE7" s="2256"/>
      <c r="AF7" s="2329"/>
      <c r="AG7" s="2266"/>
      <c r="AH7" s="2267"/>
      <c r="AI7" s="2267"/>
      <c r="AJ7" s="2267"/>
      <c r="AK7" s="2267"/>
      <c r="AL7" s="2267"/>
      <c r="AM7" s="2267"/>
      <c r="AN7" s="2267"/>
      <c r="AO7" s="2267"/>
      <c r="AP7" s="2268"/>
      <c r="AQ7" s="1266" t="s">
        <v>425</v>
      </c>
      <c r="AS7" s="508"/>
      <c r="AT7" s="508" t="str">
        <f>IF(V7="","",V7)</f>
        <v>Группа потребителей</v>
      </c>
      <c r="AU7" s="508"/>
      <c r="AV7" s="508"/>
      <c r="AW7" s="1163">
        <v>0</v>
      </c>
    </row>
    <row customHeight="1" ht="21" hidden="1">
      <c r="A8" s="1275"/>
      <c r="B8" s="1275"/>
      <c r="C8" s="1275"/>
      <c r="D8" s="1275"/>
      <c r="E8" s="2311"/>
      <c r="F8" s="2311"/>
      <c r="G8" s="2311"/>
      <c r="H8" s="2311"/>
      <c r="I8" s="2122"/>
      <c r="J8" s="2122"/>
      <c r="K8" s="2148">
        <f>J7&amp;".1"</f>
      </c>
      <c r="L8" s="147"/>
      <c r="M8" s="1318" t="s">
        <v>426</v>
      </c>
      <c r="N8" s="517"/>
      <c r="O8" s="335"/>
      <c r="P8" s="335"/>
      <c r="Q8" s="2278"/>
      <c r="R8" s="2278"/>
      <c r="S8" s="2278">
        <v>1</v>
      </c>
      <c r="T8" s="365"/>
      <c r="U8" s="1344">
        <f>$K8</f>
      </c>
      <c r="V8" s="1355"/>
      <c r="W8" s="308"/>
      <c r="X8" s="759"/>
      <c r="Y8" s="759"/>
      <c r="Z8" s="759"/>
      <c r="AA8" s="759"/>
      <c r="AB8" s="1413"/>
      <c r="AC8" s="2286"/>
      <c r="AD8" s="2128" t="s">
        <v>61</v>
      </c>
      <c r="AE8" s="2286"/>
      <c r="AF8" s="2128" t="s">
        <v>61</v>
      </c>
      <c r="AG8" s="1415"/>
      <c r="AH8" s="759"/>
      <c r="AI8" s="759"/>
      <c r="AJ8" s="759"/>
      <c r="AK8" s="1265"/>
      <c r="AL8" s="2286"/>
      <c r="AM8" s="2128" t="s">
        <v>61</v>
      </c>
      <c r="AN8" s="2286"/>
      <c r="AO8" s="2128" t="s">
        <v>61</v>
      </c>
      <c r="AP8" s="333"/>
      <c r="AQ8" s="1315" t="s">
        <v>469</v>
      </c>
      <c r="AR8" s="519">
        <f>STRCHECKDATE(X10:AP10)</f>
      </c>
      <c r="AS8" s="508"/>
      <c r="AT8" s="508" t="str">
        <f>IF(V8="","",V8)</f>
        <v/>
      </c>
      <c r="AU8" s="508"/>
      <c r="AV8" s="508"/>
      <c r="AW8" s="1163">
        <v>0</v>
      </c>
    </row>
    <row customHeight="1" ht="21" hidden="1">
      <c r="A9" s="1275"/>
      <c r="B9" s="1275"/>
      <c r="C9" s="1275"/>
      <c r="D9" s="1275"/>
      <c r="E9" s="2311"/>
      <c r="F9" s="2311"/>
      <c r="G9" s="2311"/>
      <c r="H9" s="2311"/>
      <c r="I9" s="2122"/>
      <c r="J9" s="2122"/>
      <c r="K9" s="2122"/>
      <c r="L9" s="2148">
        <f>K8&amp;".1"</f>
      </c>
      <c r="M9" s="1318"/>
      <c r="N9" s="517"/>
      <c r="O9" s="335"/>
      <c r="P9" s="335"/>
      <c r="Q9" s="2278"/>
      <c r="R9" s="2278"/>
      <c r="S9" s="2278"/>
      <c r="T9" s="365"/>
      <c r="U9" s="1344">
        <f>$L9</f>
      </c>
      <c r="V9" s="1399"/>
      <c r="W9" s="308"/>
      <c r="X9" s="333"/>
      <c r="Y9" s="759"/>
      <c r="Z9" s="759"/>
      <c r="AA9" s="759"/>
      <c r="AB9" s="1413"/>
      <c r="AC9" s="2330"/>
      <c r="AD9" s="2128"/>
      <c r="AE9" s="2330"/>
      <c r="AF9" s="2128"/>
      <c r="AG9" s="1415"/>
      <c r="AH9" s="759"/>
      <c r="AI9" s="759"/>
      <c r="AJ9" s="759"/>
      <c r="AK9" s="1265"/>
      <c r="AL9" s="2330"/>
      <c r="AM9" s="2128"/>
      <c r="AN9" s="2330"/>
      <c r="AO9" s="2128"/>
      <c r="AP9" s="333"/>
      <c r="AQ9" s="2274" t="s">
        <v>470</v>
      </c>
      <c r="AS9" s="508"/>
      <c r="AT9" s="508"/>
      <c r="AU9" s="508"/>
      <c r="AV9" s="508"/>
      <c r="AW9" s="1163">
        <v>0</v>
      </c>
    </row>
    <row customHeight="1" ht="14.25" hidden="1">
      <c r="A10" s="1275"/>
      <c r="B10" s="1275"/>
      <c r="C10" s="1275"/>
      <c r="D10" s="1275"/>
      <c r="E10" s="2311"/>
      <c r="F10" s="2311"/>
      <c r="G10" s="2311"/>
      <c r="H10" s="2311"/>
      <c r="I10" s="2122"/>
      <c r="J10" s="2122"/>
      <c r="K10" s="2122"/>
      <c r="L10" s="2148"/>
      <c r="M10" s="1318"/>
      <c r="N10" s="517"/>
      <c r="O10" s="335"/>
      <c r="P10" s="335"/>
      <c r="Q10" s="2278"/>
      <c r="R10" s="2278"/>
      <c r="S10" s="2278"/>
      <c r="T10" s="365"/>
      <c r="U10" s="1350"/>
      <c r="V10" s="308"/>
      <c r="W10" s="308"/>
      <c r="X10" s="333"/>
      <c r="Y10" s="333"/>
      <c r="Z10" s="333"/>
      <c r="AA10" s="333"/>
      <c r="AB10" s="1414" t="str">
        <f>AC8&amp;"-"&amp;AE8</f>
        <v>-</v>
      </c>
      <c r="AC10" s="2330"/>
      <c r="AD10" s="2128"/>
      <c r="AE10" s="2330"/>
      <c r="AF10" s="2128"/>
      <c r="AG10" s="1390"/>
      <c r="AH10" s="333"/>
      <c r="AI10" s="333"/>
      <c r="AJ10" s="333"/>
      <c r="AK10" s="336" t="str">
        <f>AL8&amp;"-"&amp;AN8</f>
        <v>-</v>
      </c>
      <c r="AL10" s="2330"/>
      <c r="AM10" s="2128"/>
      <c r="AN10" s="2330"/>
      <c r="AO10" s="2128"/>
      <c r="AP10" s="333"/>
      <c r="AQ10" s="2275"/>
      <c r="AS10" s="508"/>
      <c r="AT10" s="508" t="str">
        <f>IF(V10="","",V10)</f>
        <v/>
      </c>
      <c r="AU10" s="508"/>
      <c r="AV10" s="508"/>
      <c r="AW10" s="1163">
        <v>0</v>
      </c>
    </row>
    <row customHeight="1" ht="11.25" hidden="1">
      <c r="A11" s="1275"/>
      <c r="B11" s="1275"/>
      <c r="C11" s="1275"/>
      <c r="D11" s="1275"/>
      <c r="E11" s="2311"/>
      <c r="F11" s="2311"/>
      <c r="G11" s="2311"/>
      <c r="H11" s="2311"/>
      <c r="I11" s="2122"/>
      <c r="J11" s="2122"/>
      <c r="K11" s="2148"/>
      <c r="L11" s="1275"/>
      <c r="M11" s="1318"/>
      <c r="N11" s="517"/>
      <c r="O11" s="335"/>
      <c r="P11" s="335"/>
      <c r="Q11" s="2278"/>
      <c r="R11" s="2278"/>
      <c r="S11" s="2278"/>
      <c r="T11" s="365"/>
      <c r="U11" s="1286"/>
      <c r="V11" s="296" t="s">
        <v>471</v>
      </c>
      <c r="W11" s="1400"/>
      <c r="X11" s="1401"/>
      <c r="Y11" s="1401"/>
      <c r="Z11" s="1401"/>
      <c r="AA11" s="1401"/>
      <c r="AB11" s="1402"/>
      <c r="AC11" s="2330"/>
      <c r="AD11" s="2128"/>
      <c r="AE11" s="2330"/>
      <c r="AF11" s="2128"/>
      <c r="AG11" s="1401"/>
      <c r="AH11" s="1401"/>
      <c r="AI11" s="1401"/>
      <c r="AJ11" s="1401"/>
      <c r="AK11" s="1402"/>
      <c r="AL11" s="2330"/>
      <c r="AM11" s="2128"/>
      <c r="AN11" s="2330"/>
      <c r="AO11" s="2128"/>
      <c r="AP11" s="1403"/>
      <c r="AQ11" s="2275"/>
      <c r="AS11" s="508"/>
      <c r="AT11" s="508"/>
      <c r="AU11" s="508"/>
      <c r="AV11" s="508"/>
      <c r="AW11" s="1163">
        <v>0</v>
      </c>
    </row>
    <row customHeight="1" ht="15" hidden="1">
      <c r="A12" s="1275"/>
      <c r="B12" s="1275"/>
      <c r="C12" s="1275"/>
      <c r="D12" s="1275"/>
      <c r="E12" s="2311"/>
      <c r="F12" s="2311"/>
      <c r="G12" s="2311"/>
      <c r="H12" s="2311"/>
      <c r="I12" s="2122"/>
      <c r="J12" s="2148"/>
      <c r="K12" s="1275"/>
      <c r="L12" s="1275"/>
      <c r="M12" s="1318"/>
      <c r="N12" s="517"/>
      <c r="O12" s="335"/>
      <c r="Q12" s="2278"/>
      <c r="R12" s="2278"/>
      <c r="S12" s="1339"/>
      <c r="T12" s="364"/>
      <c r="U12" s="1286"/>
      <c r="V12" s="295" t="s">
        <v>428</v>
      </c>
      <c r="W12" s="375"/>
      <c r="X12" s="375"/>
      <c r="Y12" s="375"/>
      <c r="Z12" s="375"/>
      <c r="AA12" s="375"/>
      <c r="AB12" s="375"/>
      <c r="AC12" s="1416"/>
      <c r="AD12" s="1416"/>
      <c r="AE12" s="1416"/>
      <c r="AF12" s="1416"/>
      <c r="AG12" s="375"/>
      <c r="AH12" s="375"/>
      <c r="AI12" s="375"/>
      <c r="AJ12" s="375"/>
      <c r="AK12" s="375"/>
      <c r="AL12" s="375"/>
      <c r="AM12" s="375"/>
      <c r="AN12" s="375"/>
      <c r="AO12" s="375"/>
      <c r="AP12" s="332"/>
      <c r="AQ12" s="2276"/>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311"/>
      <c r="F13" s="2311"/>
      <c r="G13" s="2311"/>
      <c r="H13" s="2311"/>
      <c r="I13" s="2148"/>
      <c r="J13" s="1275"/>
      <c r="K13" s="1275"/>
      <c r="L13" s="1275"/>
      <c r="M13" s="1318"/>
      <c r="N13" s="517"/>
      <c r="Q13" s="2278"/>
      <c r="R13" s="1339"/>
      <c r="S13" s="1339"/>
      <c r="T13" s="364"/>
      <c r="U13" s="1286"/>
      <c r="V13" s="373" t="s">
        <v>429</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311"/>
      <c r="F14" s="2311"/>
      <c r="G14" s="2311"/>
      <c r="H14" s="2310"/>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311"/>
      <c r="F15" s="2311"/>
      <c r="G15" s="2310"/>
      <c r="H15" s="1382"/>
      <c r="I15" s="1382"/>
      <c r="J15" s="1382"/>
      <c r="K15" s="1382"/>
      <c r="L15" s="1382"/>
      <c r="M15" s="1385"/>
      <c r="N15" s="1386"/>
      <c r="O15" s="1386"/>
      <c r="P15" s="359"/>
      <c r="Q15" s="1324"/>
      <c r="R15" s="1325"/>
      <c r="S15" s="1324"/>
      <c r="T15" s="1324"/>
      <c r="U15" s="1326"/>
      <c r="V15" s="1327" t="s">
        <v>431</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311"/>
      <c r="F16" s="2310"/>
      <c r="G16" s="1382"/>
      <c r="H16" s="1382"/>
      <c r="I16" s="1382"/>
      <c r="J16" s="1382"/>
      <c r="K16" s="1382"/>
      <c r="L16" s="1382"/>
      <c r="M16" s="1385"/>
      <c r="N16" s="1387"/>
      <c r="O16" s="1387"/>
      <c r="P16" s="359"/>
      <c r="Q16" s="1324"/>
      <c r="R16" s="1325"/>
      <c r="S16" s="1324"/>
      <c r="T16" s="1324"/>
      <c r="U16" s="1330"/>
      <c r="V16" s="1331" t="s">
        <v>432</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310"/>
      <c r="F17" s="1382"/>
      <c r="G17" s="1382"/>
      <c r="H17" s="1382"/>
      <c r="I17" s="1382"/>
      <c r="J17" s="1382"/>
      <c r="K17" s="1382"/>
      <c r="L17" s="1382"/>
      <c r="M17" s="1385"/>
      <c r="N17" s="1387"/>
      <c r="O17" s="1387"/>
      <c r="P17" s="359"/>
      <c r="Q17" s="1324"/>
      <c r="R17" s="1325"/>
      <c r="S17" s="1324"/>
      <c r="T17" s="1324"/>
      <c r="U17" s="1330"/>
      <c r="V17" s="1333" t="s">
        <v>433</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88"/>
      <c r="AM19" s="2289" t="s">
        <v>61</v>
      </c>
      <c r="AN19" s="2288"/>
      <c r="AO19" s="2289" t="s">
        <v>61</v>
      </c>
      <c r="AW19" s="1163">
        <v>0</v>
      </c>
    </row>
    <row customHeight="1" ht="14.25" hidden="1">
      <c r="AG20" s="1368"/>
      <c r="AH20" s="1368"/>
      <c r="AI20" s="1368"/>
      <c r="AJ20" s="1368"/>
      <c r="AK20" s="1369"/>
      <c r="AL20" s="2288"/>
      <c r="AM20" s="2289"/>
      <c r="AN20" s="2288"/>
      <c r="AO20" s="2289"/>
      <c r="AW20" s="1163">
        <v>0</v>
      </c>
    </row>
    <row customHeight="1" ht="14.25" hidden="1">
      <c r="AG21" s="1368"/>
      <c r="AH21" s="1368"/>
      <c r="AI21" s="1368"/>
      <c r="AJ21" s="1368"/>
      <c r="AK21" s="1369"/>
      <c r="AL21" s="2288"/>
      <c r="AM21" s="2289"/>
      <c r="AN21" s="2288"/>
      <c r="AO21" s="2289"/>
      <c r="AW21" s="1163">
        <v>0</v>
      </c>
    </row>
    <row customHeight="1" ht="14.25" hidden="1">
      <c r="AG22" s="1368"/>
      <c r="AH22" s="1368"/>
      <c r="AI22" s="1368"/>
      <c r="AJ22" s="1368"/>
      <c r="AK22" s="336" t="str">
        <f>AL19&amp;"-"&amp;AN19</f>
        <v>-</v>
      </c>
      <c r="AL22" s="2289"/>
      <c r="AM22" s="2289"/>
      <c r="AN22" s="2289"/>
      <c r="AO22" s="2289"/>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434</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435</v>
      </c>
      <c r="Q26" s="1370"/>
      <c r="R26" s="1379"/>
      <c r="S26" s="1379"/>
      <c r="T26" s="1379"/>
      <c r="U26" s="737"/>
      <c r="V26" s="1168" t="s">
        <v>436</v>
      </c>
      <c r="AD26" s="194" t="s">
        <v>437</v>
      </c>
      <c r="AF26" s="194" t="s">
        <v>438</v>
      </c>
      <c r="AG26" s="1168" t="s">
        <v>436</v>
      </c>
      <c r="AM26" s="194" t="s">
        <v>439</v>
      </c>
      <c r="AO26" s="194" t="s">
        <v>438</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51"/>
      <c r="AW30" s="1163">
        <v>54</v>
      </c>
    </row>
    <row customHeight="1" ht="14.699999999999998">
      <c r="R31" s="384"/>
      <c r="S31" s="384"/>
      <c r="T31" s="384"/>
      <c r="U31" s="2270" t="str">
        <f>IF(org=0,"Не определено",org)</f>
        <v>АО "ДГК"</v>
      </c>
      <c r="V31" s="2270"/>
      <c r="W31" s="2270"/>
      <c r="X31" s="2270"/>
      <c r="Y31" s="2270"/>
      <c r="Z31" s="2270"/>
      <c r="AA31" s="2270"/>
      <c r="AB31" s="2270"/>
      <c r="AC31" s="2270"/>
      <c r="AD31" s="2270"/>
      <c r="AE31" s="2270"/>
      <c r="AF31" s="2270"/>
      <c r="AG31" s="2270"/>
      <c r="AH31" s="2270"/>
      <c r="AI31" s="2270"/>
      <c r="AJ31" s="2270"/>
      <c r="AK31" s="2270"/>
      <c r="AL31" s="2270"/>
      <c r="AM31" s="2270"/>
      <c r="AN31" s="2270"/>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58" customFormat="1" customHeight="1" ht="25.5" hidden="1">
      <c r="A33" s="1256"/>
      <c r="B33" s="1256"/>
      <c r="C33" s="1256"/>
      <c r="D33" s="1256"/>
      <c r="E33" s="1256"/>
      <c r="F33" s="1256"/>
      <c r="G33" s="1256"/>
      <c r="H33" s="1256"/>
      <c r="I33" s="1256"/>
      <c r="J33" s="1256"/>
      <c r="K33" s="1256"/>
      <c r="L33" s="1256"/>
      <c r="M33" s="1388"/>
      <c r="N33" s="1256"/>
      <c r="O33" s="1256"/>
      <c r="P33" s="1256"/>
      <c r="U33" s="2271" t="s">
        <v>41</v>
      </c>
      <c r="V33" s="2271"/>
      <c r="W33" s="1380"/>
      <c r="X33" s="2272" t="str">
        <f>IF(TITLE_NAME_OR_PR_CHANGE="",IF(TITLE_NAME_OR_PR="","",TITLE_NAME_OR_PR),TITLE_NAME_OR_PR_CHANGE)</f>
        <v/>
      </c>
      <c r="Y33" s="2272"/>
      <c r="Z33" s="2272"/>
      <c r="AA33" s="2272"/>
      <c r="AB33" s="2272"/>
      <c r="AC33" s="2272"/>
      <c r="AD33" s="2272"/>
      <c r="AE33" s="2272"/>
      <c r="AF33" s="334"/>
      <c r="AG33" s="2272" t="str">
        <f>IF(TITLE_NAME_OR_PR_CHANGE="",IF(TITLE_NAME_OR_PR="","",TITLE_NAME_OR_PR),TITLE_NAME_OR_PR_CHANGE)</f>
        <v/>
      </c>
      <c r="AH33" s="2272"/>
      <c r="AI33" s="2272"/>
      <c r="AJ33" s="2272"/>
      <c r="AK33" s="2272"/>
      <c r="AL33" s="2272"/>
      <c r="AM33" s="2272"/>
      <c r="AN33" s="2272"/>
      <c r="AO33" s="334"/>
      <c r="AP33" s="334"/>
      <c r="AQ33" s="288"/>
      <c r="AR33" s="376"/>
      <c r="AS33" s="376"/>
      <c r="AT33" s="376"/>
      <c r="AU33" s="376"/>
      <c r="AV33" s="376"/>
      <c r="AW33" s="426">
        <v>0</v>
      </c>
    </row>
    <row s="1858" customFormat="1" customHeight="1" ht="18.75" hidden="1">
      <c r="A34" s="1256"/>
      <c r="B34" s="1256"/>
      <c r="C34" s="1256"/>
      <c r="D34" s="1256"/>
      <c r="E34" s="1256"/>
      <c r="F34" s="1256"/>
      <c r="G34" s="1256"/>
      <c r="H34" s="1256"/>
      <c r="I34" s="1256"/>
      <c r="J34" s="1256"/>
      <c r="K34" s="1256"/>
      <c r="L34" s="1256"/>
      <c r="M34" s="1388"/>
      <c r="N34" s="1256"/>
      <c r="O34" s="1256"/>
      <c r="P34" s="1256"/>
      <c r="U34" s="2271" t="s">
        <v>440</v>
      </c>
      <c r="V34" s="2271"/>
      <c r="W34" s="1380"/>
      <c r="X34" s="2285" t="str">
        <f>IF(TITLE_DATE_PR_CHANGE="",IF(TITLE_DATE_PR="","",TITLE_DATE_PR),TITLE_DATE_PR_CHANGE)</f>
        <v/>
      </c>
      <c r="Y34" s="2285"/>
      <c r="Z34" s="2285"/>
      <c r="AA34" s="2285"/>
      <c r="AB34" s="2285"/>
      <c r="AC34" s="2285"/>
      <c r="AD34" s="2285"/>
      <c r="AE34" s="2285"/>
      <c r="AF34" s="334"/>
      <c r="AG34" s="2285" t="str">
        <f>IF(TITLE_DATE_PR_CHANGE="",IF(TITLE_DATE_PR="","",TITLE_DATE_PR),TITLE_DATE_PR_CHANGE)</f>
        <v/>
      </c>
      <c r="AH34" s="2285"/>
      <c r="AI34" s="2285"/>
      <c r="AJ34" s="2285"/>
      <c r="AK34" s="2285"/>
      <c r="AL34" s="2285"/>
      <c r="AM34" s="2285"/>
      <c r="AN34" s="2285"/>
      <c r="AO34" s="334"/>
      <c r="AP34" s="334"/>
      <c r="AQ34" s="288"/>
      <c r="AR34" s="376"/>
      <c r="AS34" s="376"/>
      <c r="AT34" s="376"/>
      <c r="AU34" s="376"/>
      <c r="AV34" s="376"/>
      <c r="AW34" s="426">
        <v>0</v>
      </c>
    </row>
    <row s="1858" customFormat="1" customHeight="1" ht="18.75" hidden="1">
      <c r="A35" s="1256"/>
      <c r="B35" s="1256"/>
      <c r="C35" s="1256"/>
      <c r="D35" s="1256"/>
      <c r="E35" s="1256"/>
      <c r="F35" s="1256"/>
      <c r="G35" s="1256"/>
      <c r="H35" s="1256"/>
      <c r="I35" s="1256"/>
      <c r="J35" s="1256"/>
      <c r="K35" s="1256"/>
      <c r="L35" s="1256"/>
      <c r="M35" s="1388"/>
      <c r="N35" s="1256"/>
      <c r="O35" s="1256"/>
      <c r="P35" s="1256"/>
      <c r="U35" s="2271" t="s">
        <v>441</v>
      </c>
      <c r="V35" s="2271"/>
      <c r="W35" s="1380"/>
      <c r="X35" s="2272" t="str">
        <f>IF(TITLE_NUMBER_PR_CHANGE="",IF(TITLE_NUMBER_PR="","",TITLE_NUMBER_PR),TITLE_NUMBER_PR_CHANGE)</f>
        <v/>
      </c>
      <c r="Y35" s="2272"/>
      <c r="Z35" s="2272"/>
      <c r="AA35" s="2272"/>
      <c r="AB35" s="2272"/>
      <c r="AC35" s="2272"/>
      <c r="AD35" s="2272"/>
      <c r="AE35" s="2272"/>
      <c r="AF35" s="334"/>
      <c r="AG35" s="2272" t="str">
        <f>IF(TITLE_NUMBER_PR_CHANGE="",IF(TITLE_NUMBER_PR="","",TITLE_NUMBER_PR),TITLE_NUMBER_PR_CHANGE)</f>
        <v/>
      </c>
      <c r="AH35" s="2272"/>
      <c r="AI35" s="2272"/>
      <c r="AJ35" s="2272"/>
      <c r="AK35" s="2272"/>
      <c r="AL35" s="2272"/>
      <c r="AM35" s="2272"/>
      <c r="AN35" s="2272"/>
      <c r="AO35" s="334"/>
      <c r="AP35" s="334"/>
      <c r="AQ35" s="288"/>
      <c r="AR35" s="376"/>
      <c r="AS35" s="376"/>
      <c r="AT35" s="376"/>
      <c r="AU35" s="376"/>
      <c r="AV35" s="376"/>
      <c r="AW35" s="426">
        <v>0</v>
      </c>
    </row>
    <row s="1858" customFormat="1" customHeight="1" ht="18.75" hidden="1">
      <c r="A36" s="1256"/>
      <c r="B36" s="1256"/>
      <c r="C36" s="1256"/>
      <c r="D36" s="1256"/>
      <c r="E36" s="1256"/>
      <c r="F36" s="1256"/>
      <c r="G36" s="1256"/>
      <c r="H36" s="1256"/>
      <c r="I36" s="1256"/>
      <c r="J36" s="1256"/>
      <c r="K36" s="1256"/>
      <c r="L36" s="1256"/>
      <c r="M36" s="1388"/>
      <c r="N36" s="1256"/>
      <c r="O36" s="1256"/>
      <c r="P36" s="1256"/>
      <c r="U36" s="2271" t="s">
        <v>42</v>
      </c>
      <c r="V36" s="2271"/>
      <c r="W36" s="1380"/>
      <c r="X36" s="2272" t="str">
        <f>IF(TITLE_IST_PUB_CHANGE="",IF(TITLE_IST_PUB="","",TITLE_IST_PUB),TITLE_IST_PUB_CHANGE)</f>
        <v/>
      </c>
      <c r="Y36" s="2272"/>
      <c r="Z36" s="2272"/>
      <c r="AA36" s="2272"/>
      <c r="AB36" s="2272"/>
      <c r="AC36" s="2272"/>
      <c r="AD36" s="2272"/>
      <c r="AE36" s="2272"/>
      <c r="AF36" s="334"/>
      <c r="AG36" s="2272" t="str">
        <f>IF(TITLE_IST_PUB_CHANGE="",IF(TITLE_IST_PUB="","",TITLE_IST_PUB),TITLE_IST_PUB_CHANGE)</f>
        <v/>
      </c>
      <c r="AH36" s="2272"/>
      <c r="AI36" s="2272"/>
      <c r="AJ36" s="2272"/>
      <c r="AK36" s="2272"/>
      <c r="AL36" s="2272"/>
      <c r="AM36" s="2272"/>
      <c r="AN36" s="2272"/>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58" customFormat="1" customHeight="1" ht="18.75" hidden="1">
      <c r="A38" s="1256"/>
      <c r="B38" s="1256"/>
      <c r="C38" s="1256"/>
      <c r="D38" s="1256"/>
      <c r="E38" s="1256"/>
      <c r="F38" s="1256"/>
      <c r="G38" s="1256"/>
      <c r="H38" s="1256"/>
      <c r="I38" s="1256"/>
      <c r="J38" s="1256"/>
      <c r="K38" s="1256"/>
      <c r="L38" s="1256"/>
      <c r="M38" s="1388"/>
      <c r="N38" s="1256"/>
      <c r="O38" s="1256"/>
      <c r="P38" s="1256"/>
      <c r="U38" s="2271" t="s">
        <v>442</v>
      </c>
      <c r="V38" s="2271"/>
      <c r="W38" s="1380"/>
      <c r="X38" s="2285" t="str">
        <f>IF(TITLE_DATE_PR_CHANGE="",IF(TITLE_DATE_PR="","",TITLE_DATE_PR),TITLE_DATE_PR_CHANGE)</f>
        <v/>
      </c>
      <c r="Y38" s="2285"/>
      <c r="Z38" s="2285"/>
      <c r="AA38" s="2285"/>
      <c r="AB38" s="2285"/>
      <c r="AC38" s="2285"/>
      <c r="AD38" s="2285"/>
      <c r="AE38" s="2285"/>
      <c r="AF38" s="334"/>
      <c r="AG38" s="2285" t="str">
        <f>IF(TITLE_DATE_PR_CHANGE="",IF(TITLE_DATE_PR="","",TITLE_DATE_PR),TITLE_DATE_PR_CHANGE)</f>
        <v/>
      </c>
      <c r="AH38" s="2285"/>
      <c r="AI38" s="2285"/>
      <c r="AJ38" s="2285"/>
      <c r="AK38" s="2285"/>
      <c r="AL38" s="2285"/>
      <c r="AM38" s="2285"/>
      <c r="AN38" s="2285"/>
      <c r="AO38" s="334"/>
      <c r="AP38" s="334"/>
      <c r="AQ38" s="288"/>
      <c r="AR38" s="376"/>
      <c r="AS38" s="376"/>
      <c r="AT38" s="376"/>
      <c r="AU38" s="376"/>
      <c r="AV38" s="376"/>
      <c r="AW38" s="426">
        <v>0</v>
      </c>
    </row>
    <row s="1858" customFormat="1" customHeight="1" ht="18.75" hidden="1">
      <c r="A39" s="1256"/>
      <c r="B39" s="1256"/>
      <c r="C39" s="1256"/>
      <c r="D39" s="1256"/>
      <c r="E39" s="1256"/>
      <c r="F39" s="1256"/>
      <c r="G39" s="1256"/>
      <c r="H39" s="1256"/>
      <c r="I39" s="1256"/>
      <c r="J39" s="1256"/>
      <c r="K39" s="1256"/>
      <c r="L39" s="1256"/>
      <c r="M39" s="1388"/>
      <c r="N39" s="1256"/>
      <c r="O39" s="1256"/>
      <c r="P39" s="1256"/>
      <c r="U39" s="2271" t="s">
        <v>443</v>
      </c>
      <c r="V39" s="2271"/>
      <c r="W39" s="1380"/>
      <c r="X39" s="2272" t="str">
        <f>IF(TITLE_NUMBER_PR_CHANGE="",IF(TITLE_NUMBER_PR="","",TITLE_NUMBER_PR),TITLE_NUMBER_PR_CHANGE)</f>
        <v/>
      </c>
      <c r="Y39" s="2272"/>
      <c r="Z39" s="2272"/>
      <c r="AA39" s="2272"/>
      <c r="AB39" s="2272"/>
      <c r="AC39" s="2272"/>
      <c r="AD39" s="2272"/>
      <c r="AE39" s="2272"/>
      <c r="AF39" s="334"/>
      <c r="AG39" s="2272" t="str">
        <f>IF(TITLE_NUMBER_PR_CHANGE="",IF(TITLE_NUMBER_PR="","",TITLE_NUMBER_PR),TITLE_NUMBER_PR_CHANGE)</f>
        <v/>
      </c>
      <c r="AH39" s="2272"/>
      <c r="AI39" s="2272"/>
      <c r="AJ39" s="2272"/>
      <c r="AK39" s="2272"/>
      <c r="AL39" s="2272"/>
      <c r="AM39" s="2272"/>
      <c r="AN39" s="2272"/>
      <c r="AO39" s="334"/>
      <c r="AP39" s="334"/>
      <c r="AQ39" s="288"/>
      <c r="AR39" s="376"/>
      <c r="AS39" s="376"/>
      <c r="AT39" s="376"/>
      <c r="AU39" s="376"/>
      <c r="AV39" s="376"/>
      <c r="AW39" s="426">
        <v>0</v>
      </c>
    </row>
    <row s="1858"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444</v>
      </c>
      <c r="AG40" s="334"/>
      <c r="AH40" s="334"/>
      <c r="AI40" s="334"/>
      <c r="AJ40" s="334"/>
      <c r="AK40" s="334"/>
      <c r="AL40" s="334"/>
      <c r="AM40" s="334"/>
      <c r="AN40" s="334"/>
      <c r="AO40" s="286" t="s">
        <v>444</v>
      </c>
      <c r="AR40" s="376"/>
      <c r="AS40" s="376"/>
      <c r="AT40" s="376"/>
      <c r="AU40" s="376"/>
      <c r="AV40" s="376"/>
      <c r="AW40" s="426">
        <v>0</v>
      </c>
    </row>
    <row customHeight="1" ht="14.699999999999998">
      <c r="R41" s="384"/>
      <c r="S41" s="384"/>
      <c r="T41" s="384"/>
      <c r="U41" s="1283"/>
      <c r="V41" s="371"/>
      <c r="W41" s="1252"/>
      <c r="X41" s="2273"/>
      <c r="Y41" s="2273"/>
      <c r="Z41" s="2273"/>
      <c r="AA41" s="2273"/>
      <c r="AB41" s="2273"/>
      <c r="AC41" s="2273"/>
      <c r="AD41" s="2273"/>
      <c r="AE41" s="2273"/>
      <c r="AF41" s="2273"/>
      <c r="AG41" s="2273"/>
      <c r="AH41" s="2273"/>
      <c r="AI41" s="2273"/>
      <c r="AJ41" s="2273"/>
      <c r="AK41" s="2273"/>
      <c r="AL41" s="2273"/>
      <c r="AM41" s="2273"/>
      <c r="AN41" s="2273"/>
      <c r="AO41" s="2273"/>
      <c r="AW41" s="1163">
        <v>14</v>
      </c>
    </row>
    <row customHeight="1" ht="14.699999999999998">
      <c r="R42" s="384"/>
      <c r="S42" s="384"/>
      <c r="T42" s="384"/>
      <c r="U42" s="2148" t="s">
        <v>317</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318</v>
      </c>
      <c r="AW42" s="1163">
        <v>14</v>
      </c>
    </row>
    <row customHeight="1" ht="14.699999999999998">
      <c r="R43" s="384"/>
      <c r="S43" s="384"/>
      <c r="T43" s="384"/>
      <c r="U43" s="2294" t="s">
        <v>88</v>
      </c>
      <c r="V43" s="2230" t="s">
        <v>445</v>
      </c>
      <c r="W43" s="309"/>
      <c r="X43" s="2295" t="s">
        <v>446</v>
      </c>
      <c r="Y43" s="2312"/>
      <c r="Z43" s="2312"/>
      <c r="AA43" s="2312"/>
      <c r="AB43" s="2312"/>
      <c r="AC43" s="2296"/>
      <c r="AD43" s="2296"/>
      <c r="AE43" s="2297"/>
      <c r="AF43" s="2298" t="s">
        <v>447</v>
      </c>
      <c r="AG43" s="2295" t="s">
        <v>446</v>
      </c>
      <c r="AH43" s="2312"/>
      <c r="AI43" s="2312"/>
      <c r="AJ43" s="2312"/>
      <c r="AK43" s="2312"/>
      <c r="AL43" s="2296"/>
      <c r="AM43" s="2296"/>
      <c r="AN43" s="2297"/>
      <c r="AO43" s="2298" t="s">
        <v>448</v>
      </c>
      <c r="AP43" s="2301" t="s">
        <v>449</v>
      </c>
      <c r="AQ43" s="2148"/>
      <c r="AW43" s="1163">
        <v>14</v>
      </c>
    </row>
    <row customHeight="1" ht="35.699999999999996">
      <c r="R44" s="384"/>
      <c r="S44" s="384"/>
      <c r="T44" s="384"/>
      <c r="U44" s="2294"/>
      <c r="V44" s="2230"/>
      <c r="W44" s="1039"/>
      <c r="X44" s="2315" t="s">
        <v>472</v>
      </c>
      <c r="Y44" s="2333" t="s">
        <v>473</v>
      </c>
      <c r="Z44" s="2333"/>
      <c r="AA44" s="2333"/>
      <c r="AB44" s="2333"/>
      <c r="AC44" s="2315" t="s">
        <v>453</v>
      </c>
      <c r="AD44" s="2633"/>
      <c r="AE44" s="2335"/>
      <c r="AF44" s="2299"/>
      <c r="AG44" s="2315" t="s">
        <v>472</v>
      </c>
      <c r="AH44" s="2333" t="s">
        <v>473</v>
      </c>
      <c r="AI44" s="2333"/>
      <c r="AJ44" s="2333"/>
      <c r="AK44" s="2333"/>
      <c r="AL44" s="2315" t="s">
        <v>453</v>
      </c>
      <c r="AM44" s="2633"/>
      <c r="AN44" s="2335"/>
      <c r="AO44" s="2299"/>
      <c r="AP44" s="2302"/>
      <c r="AQ44" s="2148"/>
      <c r="AW44" s="1163">
        <v>34</v>
      </c>
    </row>
    <row customHeight="1" ht="14.699999999999998">
      <c r="R45" s="384"/>
      <c r="S45" s="384"/>
      <c r="T45" s="384"/>
      <c r="U45" s="2294"/>
      <c r="V45" s="2230"/>
      <c r="W45" s="1039"/>
      <c r="X45" s="2346"/>
      <c r="Y45" s="2338" t="s">
        <v>474</v>
      </c>
      <c r="Z45" s="2291" t="s">
        <v>475</v>
      </c>
      <c r="AA45" s="2341"/>
      <c r="AB45" s="2292"/>
      <c r="AC45" s="2316"/>
      <c r="AD45" s="2634"/>
      <c r="AE45" s="2337"/>
      <c r="AF45" s="2299"/>
      <c r="AG45" s="2346"/>
      <c r="AH45" s="2338" t="s">
        <v>474</v>
      </c>
      <c r="AI45" s="2291" t="s">
        <v>475</v>
      </c>
      <c r="AJ45" s="2341"/>
      <c r="AK45" s="2292"/>
      <c r="AL45" s="2316"/>
      <c r="AM45" s="2634"/>
      <c r="AN45" s="2337"/>
      <c r="AO45" s="2299"/>
      <c r="AP45" s="2302"/>
      <c r="AQ45" s="2148"/>
      <c r="AW45" s="1163">
        <v>14</v>
      </c>
    </row>
    <row customHeight="1" ht="27.299999999999997">
      <c r="R46" s="384"/>
      <c r="S46" s="384"/>
      <c r="T46" s="384"/>
      <c r="U46" s="2294"/>
      <c r="V46" s="2230"/>
      <c r="W46" s="1039"/>
      <c r="X46" s="2346"/>
      <c r="Y46" s="2339"/>
      <c r="Z46" s="2338" t="s">
        <v>476</v>
      </c>
      <c r="AA46" s="2291" t="s">
        <v>477</v>
      </c>
      <c r="AB46" s="2292"/>
      <c r="AC46" s="2338" t="s">
        <v>463</v>
      </c>
      <c r="AD46" s="2342" t="s">
        <v>464</v>
      </c>
      <c r="AE46" s="2343"/>
      <c r="AF46" s="2299"/>
      <c r="AG46" s="2346"/>
      <c r="AH46" s="2339"/>
      <c r="AI46" s="2338" t="s">
        <v>476</v>
      </c>
      <c r="AJ46" s="2291" t="s">
        <v>477</v>
      </c>
      <c r="AK46" s="2292"/>
      <c r="AL46" s="2338" t="s">
        <v>463</v>
      </c>
      <c r="AM46" s="2342" t="s">
        <v>464</v>
      </c>
      <c r="AN46" s="2343"/>
      <c r="AO46" s="2299"/>
      <c r="AP46" s="2302"/>
      <c r="AQ46" s="2148"/>
      <c r="AW46" s="1163">
        <v>26</v>
      </c>
    </row>
    <row customHeight="1" ht="65.25">
      <c r="A47" s="1267"/>
      <c r="B47" s="1267" t="s">
        <v>154</v>
      </c>
      <c r="C47" s="1267" t="s">
        <v>155</v>
      </c>
      <c r="D47" s="1267" t="s">
        <v>156</v>
      </c>
      <c r="E47" s="1318" t="s">
        <v>454</v>
      </c>
      <c r="F47" s="1318" t="s">
        <v>455</v>
      </c>
      <c r="G47" s="1318" t="s">
        <v>456</v>
      </c>
      <c r="H47" s="1318" t="s">
        <v>457</v>
      </c>
      <c r="I47" s="1318" t="s">
        <v>458</v>
      </c>
      <c r="J47" s="1318" t="s">
        <v>459</v>
      </c>
      <c r="K47" s="1318" t="s">
        <v>460</v>
      </c>
      <c r="L47" s="1318" t="s">
        <v>478</v>
      </c>
      <c r="M47" s="1318" t="s">
        <v>435</v>
      </c>
      <c r="R47" s="384"/>
      <c r="S47" s="384"/>
      <c r="T47" s="384"/>
      <c r="U47" s="2294"/>
      <c r="V47" s="2230"/>
      <c r="W47" s="310"/>
      <c r="X47" s="2316"/>
      <c r="Y47" s="2340"/>
      <c r="Z47" s="2340"/>
      <c r="AA47" s="1230" t="s">
        <v>479</v>
      </c>
      <c r="AB47" s="1230" t="s">
        <v>480</v>
      </c>
      <c r="AC47" s="2340"/>
      <c r="AD47" s="2344"/>
      <c r="AE47" s="2345"/>
      <c r="AF47" s="2300"/>
      <c r="AG47" s="2316"/>
      <c r="AH47" s="2340"/>
      <c r="AI47" s="2340"/>
      <c r="AJ47" s="1230" t="s">
        <v>479</v>
      </c>
      <c r="AK47" s="1230" t="s">
        <v>480</v>
      </c>
      <c r="AL47" s="2340"/>
      <c r="AM47" s="2344"/>
      <c r="AN47" s="2345"/>
      <c r="AO47" s="2300"/>
      <c r="AP47" s="2303"/>
      <c r="AQ47" s="2148"/>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118</v>
      </c>
      <c r="V48" s="1263" t="s">
        <v>102</v>
      </c>
      <c r="W48" s="1253" t="str">
        <f>OFFSET(W48,0,-1)</f>
        <v>2</v>
      </c>
      <c r="X48" s="1343">
        <f>OFFSET(X48,0,-1)+1</f>
        <v>3</v>
      </c>
      <c r="Y48" s="1349"/>
      <c r="Z48" s="1349"/>
      <c r="AA48" s="1349">
        <f>OFFSET(AA48,0,-1)+1</f>
        <v>1</v>
      </c>
      <c r="AB48" s="1349">
        <f>OFFSET(AB48,0,-1)+1</f>
        <v>2</v>
      </c>
      <c r="AC48" s="1343">
        <f>OFFSET(AC48,0,-1)+1</f>
        <v>3</v>
      </c>
      <c r="AD48" s="2293">
        <f>OFFSET(AD48,0,-1)+1</f>
        <v>4</v>
      </c>
      <c r="AE48" s="2293"/>
      <c r="AF48" s="1343">
        <f>OFFSET(AF48,0,-2)+1</f>
        <v>5</v>
      </c>
      <c r="AG48" s="1343">
        <f>OFFSET(AG48,0,-1)+1</f>
        <v>6</v>
      </c>
      <c r="AH48" s="1343"/>
      <c r="AI48" s="1343"/>
      <c r="AJ48" s="1343">
        <f>OFFSET(AJ48,0,-1)+1</f>
        <v>1</v>
      </c>
      <c r="AK48" s="1343">
        <f>OFFSET(AK48,0,-1)+1</f>
        <v>2</v>
      </c>
      <c r="AL48" s="1343">
        <f>OFFSET(AL48,0,-1)+1</f>
        <v>3</v>
      </c>
      <c r="AM48" s="2293">
        <f>OFFSET(AM48,0,-1)+1</f>
        <v>4</v>
      </c>
      <c r="AN48" s="2293"/>
      <c r="AO48" s="1343">
        <f>OFFSET(AO48,0,-2)+1</f>
        <v>5</v>
      </c>
      <c r="AP48" s="1253">
        <f>OFFSET(AP48,0,-1)</f>
        <v>5</v>
      </c>
      <c r="AQ48" s="1343">
        <f>OFFSET(AQ48,0,-1)+1</f>
        <v>6</v>
      </c>
      <c r="AR48" s="519"/>
      <c r="AS48" s="519"/>
      <c r="AT48" s="519"/>
      <c r="AU48" s="519"/>
      <c r="AV48" s="519"/>
      <c r="AW48" s="504">
        <v>0</v>
      </c>
    </row>
    <row customHeight="1" ht="22.049999999999997">
      <c r="A49" s="1275" t="s">
        <v>193</v>
      </c>
      <c r="B49" s="1275"/>
      <c r="C49" s="1275"/>
      <c r="D49" s="1275"/>
      <c r="E49" s="2310">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142</v>
      </c>
      <c r="W49" s="308"/>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193</v>
      </c>
      <c r="B50" s="1275" t="s">
        <v>194</v>
      </c>
      <c r="C50" s="1275"/>
      <c r="D50" s="1275"/>
      <c r="E50" s="2311"/>
      <c r="F50" s="2310">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414</v>
      </c>
      <c r="W50" s="308"/>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6" t="s">
        <v>415</v>
      </c>
      <c r="AS50" s="508"/>
      <c r="AT50" s="508" t="str">
        <f>IF(V50="","",V50)</f>
        <v>Территория действия тарифа</v>
      </c>
      <c r="AU50" s="508"/>
      <c r="AV50" s="508"/>
      <c r="AW50" s="1163">
        <v>21</v>
      </c>
    </row>
    <row customHeight="1" ht="24">
      <c r="A51" s="1275" t="s">
        <v>193</v>
      </c>
      <c r="B51" s="1275" t="s">
        <v>194</v>
      </c>
      <c r="C51" s="1275" t="s">
        <v>195</v>
      </c>
      <c r="D51" s="1275"/>
      <c r="E51" s="2311"/>
      <c r="F51" s="2311"/>
      <c r="G51" s="2310">
        <v>1</v>
      </c>
      <c r="H51" s="1275"/>
      <c r="I51" s="1275"/>
      <c r="J51" s="1275"/>
      <c r="K51" s="1275"/>
      <c r="L51" s="1275"/>
      <c r="M51" s="1318"/>
      <c r="N51" s="696"/>
      <c r="O51" s="696"/>
      <c r="P51" s="696"/>
      <c r="Q51" s="362"/>
      <c r="R51" s="360"/>
      <c r="S51" s="517"/>
      <c r="T51" s="361"/>
      <c r="U51" s="1344" t="str">
        <f>INDEX(PT_DIFFERENTIATION_NUM_CS,MATCH(C51,PT_DIFFERENTIATION_CS_ID,0))</f>
        <v>..</v>
      </c>
      <c r="V51" s="317" t="s">
        <v>416</v>
      </c>
      <c r="W51" s="308"/>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6" t="s">
        <v>417</v>
      </c>
      <c r="AS51" s="508"/>
      <c r="AT51" s="508" t="str">
        <f>IF(V51="","",V51)</f>
        <v>Наименование системы теплоснабжения </v>
      </c>
      <c r="AU51" s="508"/>
      <c r="AV51" s="508"/>
      <c r="AW51" s="1163">
        <v>23</v>
      </c>
    </row>
    <row customHeight="1" ht="22.049999999999997">
      <c r="A52" s="1275" t="s">
        <v>193</v>
      </c>
      <c r="B52" s="1275" t="s">
        <v>194</v>
      </c>
      <c r="C52" s="1275" t="s">
        <v>195</v>
      </c>
      <c r="D52" s="1275" t="s">
        <v>196</v>
      </c>
      <c r="E52" s="2311"/>
      <c r="F52" s="2311"/>
      <c r="G52" s="2311"/>
      <c r="H52" s="2331">
        <v>1</v>
      </c>
      <c r="I52" s="1275"/>
      <c r="J52" s="1275"/>
      <c r="K52" s="1275"/>
      <c r="L52" s="1275"/>
      <c r="M52" s="1318"/>
      <c r="N52" s="696"/>
      <c r="O52" s="696"/>
      <c r="P52" s="696"/>
      <c r="Q52" s="362"/>
      <c r="R52" s="360"/>
      <c r="S52" s="517"/>
      <c r="T52" s="361"/>
      <c r="U52" s="1344" t="str">
        <f>INDEX(PT_DIFFERENTIATION_NUM_IST_TE,MATCH(D52,PT_DIFFERENTIATION_IST_TE_ID,0))</f>
        <v>...</v>
      </c>
      <c r="V52" s="318" t="s">
        <v>418</v>
      </c>
      <c r="W52" s="308"/>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6" t="s">
        <v>419</v>
      </c>
      <c r="AS52" s="508"/>
      <c r="AT52" s="508" t="str">
        <f>IF(V52="","",V52)</f>
        <v>Источник тепловой энергии  </v>
      </c>
      <c r="AU52" s="508"/>
      <c r="AV52" s="508"/>
      <c r="AW52" s="1163">
        <v>21</v>
      </c>
    </row>
    <row s="1650" customFormat="1" customHeight="1" ht="0">
      <c r="A53" s="1383" t="s">
        <v>193</v>
      </c>
      <c r="B53" s="1383" t="s">
        <v>194</v>
      </c>
      <c r="C53" s="1383" t="s">
        <v>195</v>
      </c>
      <c r="D53" s="1383" t="s">
        <v>196</v>
      </c>
      <c r="E53" s="2311"/>
      <c r="F53" s="2311"/>
      <c r="G53" s="2311"/>
      <c r="H53" s="2332"/>
      <c r="I53" s="2148" t="str">
        <f>U52&amp;".1"</f>
        <v>....1</v>
      </c>
      <c r="J53" s="1383"/>
      <c r="K53" s="1383"/>
      <c r="L53" s="1383"/>
      <c r="M53" s="1389" t="s">
        <v>420</v>
      </c>
      <c r="N53" s="1254"/>
      <c r="O53" s="1254"/>
      <c r="P53" s="1254"/>
      <c r="Q53" s="2278">
        <v>1</v>
      </c>
      <c r="R53" s="1339"/>
      <c r="S53" s="1339"/>
      <c r="T53" s="364"/>
      <c r="U53" s="1050"/>
      <c r="V53" s="1391"/>
      <c r="W53" s="1392"/>
      <c r="X53" s="2317"/>
      <c r="Y53" s="2318"/>
      <c r="Z53" s="2318"/>
      <c r="AA53" s="2318"/>
      <c r="AB53" s="2318"/>
      <c r="AC53" s="2318"/>
      <c r="AD53" s="2318"/>
      <c r="AE53" s="2318"/>
      <c r="AF53" s="2319"/>
      <c r="AG53" s="2317"/>
      <c r="AH53" s="2318"/>
      <c r="AI53" s="2318"/>
      <c r="AJ53" s="2318"/>
      <c r="AK53" s="2318"/>
      <c r="AL53" s="2318"/>
      <c r="AM53" s="2318"/>
      <c r="AN53" s="2318"/>
      <c r="AO53" s="2318"/>
      <c r="AP53" s="2319"/>
      <c r="AQ53" s="1393"/>
      <c r="AS53" s="508"/>
      <c r="AT53" s="508" t="str">
        <f>IF(V53="","",V53)</f>
        <v/>
      </c>
      <c r="AU53" s="508"/>
      <c r="AV53" s="508"/>
      <c r="AW53" s="519">
        <v>0</v>
      </c>
    </row>
    <row customHeight="1" ht="22.049999999999997">
      <c r="A54" s="1275" t="s">
        <v>193</v>
      </c>
      <c r="B54" s="1275" t="s">
        <v>194</v>
      </c>
      <c r="C54" s="1275" t="s">
        <v>195</v>
      </c>
      <c r="D54" s="1275" t="s">
        <v>196</v>
      </c>
      <c r="E54" s="2311"/>
      <c r="F54" s="2311"/>
      <c r="G54" s="2311"/>
      <c r="H54" s="2332"/>
      <c r="I54" s="2122"/>
      <c r="J54" s="2148" t="str">
        <f>I53&amp;".1"</f>
        <v>....1.1</v>
      </c>
      <c r="K54" s="1275"/>
      <c r="L54" s="1275"/>
      <c r="M54" s="1318" t="s">
        <v>423</v>
      </c>
      <c r="Q54" s="2278"/>
      <c r="R54" s="2278">
        <v>1</v>
      </c>
      <c r="S54" s="526"/>
      <c r="T54" s="365"/>
      <c r="U54" s="1344" t="str">
        <f>$J54</f>
        <v>....1.1</v>
      </c>
      <c r="V54" s="294" t="s">
        <v>424</v>
      </c>
      <c r="W54" s="308"/>
      <c r="X54" s="2266"/>
      <c r="Y54" s="2267"/>
      <c r="Z54" s="2267"/>
      <c r="AA54" s="2267"/>
      <c r="AB54" s="2267"/>
      <c r="AC54" s="2256"/>
      <c r="AD54" s="2256"/>
      <c r="AE54" s="2256"/>
      <c r="AF54" s="2329"/>
      <c r="AG54" s="2266"/>
      <c r="AH54" s="2267"/>
      <c r="AI54" s="2267"/>
      <c r="AJ54" s="2267"/>
      <c r="AK54" s="2267"/>
      <c r="AL54" s="2267"/>
      <c r="AM54" s="2267"/>
      <c r="AN54" s="2267"/>
      <c r="AO54" s="2267"/>
      <c r="AP54" s="2268"/>
      <c r="AQ54" s="1266" t="s">
        <v>425</v>
      </c>
      <c r="AS54" s="508"/>
      <c r="AT54" s="508" t="str">
        <f>IF(V54="","",V54)</f>
        <v>Группа потребителей</v>
      </c>
      <c r="AU54" s="508"/>
      <c r="AV54" s="508"/>
      <c r="AW54" s="1163">
        <v>21</v>
      </c>
    </row>
    <row customHeight="1" ht="22.049999999999997">
      <c r="A55" s="1275" t="s">
        <v>193</v>
      </c>
      <c r="B55" s="1275" t="s">
        <v>194</v>
      </c>
      <c r="C55" s="1275" t="s">
        <v>195</v>
      </c>
      <c r="D55" s="1275" t="s">
        <v>196</v>
      </c>
      <c r="E55" s="2311"/>
      <c r="F55" s="2311"/>
      <c r="G55" s="2311"/>
      <c r="H55" s="2332"/>
      <c r="I55" s="2122"/>
      <c r="J55" s="2122"/>
      <c r="K55" s="2148" t="str">
        <f>J54&amp;".1"</f>
        <v>....1.1.1</v>
      </c>
      <c r="L55" s="147"/>
      <c r="M55" s="1318" t="s">
        <v>426</v>
      </c>
      <c r="Q55" s="2278"/>
      <c r="R55" s="2278"/>
      <c r="S55" s="526">
        <v>1</v>
      </c>
      <c r="T55" s="365"/>
      <c r="U55" s="1344" t="str">
        <f>$K55</f>
        <v>....1.1.1</v>
      </c>
      <c r="V55" s="1355"/>
      <c r="W55" s="308"/>
      <c r="X55" s="759"/>
      <c r="Y55" s="759"/>
      <c r="Z55" s="759"/>
      <c r="AA55" s="759"/>
      <c r="AB55" s="1413"/>
      <c r="AC55" s="2286"/>
      <c r="AD55" s="2128" t="s">
        <v>61</v>
      </c>
      <c r="AE55" s="2286"/>
      <c r="AF55" s="2128" t="s">
        <v>61</v>
      </c>
      <c r="AG55" s="1415"/>
      <c r="AH55" s="759"/>
      <c r="AI55" s="759"/>
      <c r="AJ55" s="759"/>
      <c r="AK55" s="1265"/>
      <c r="AL55" s="2286"/>
      <c r="AM55" s="2128" t="s">
        <v>61</v>
      </c>
      <c r="AN55" s="2286"/>
      <c r="AO55" s="2128" t="s">
        <v>61</v>
      </c>
      <c r="AP55" s="1356"/>
      <c r="AQ55" s="1315" t="s">
        <v>469</v>
      </c>
      <c r="AR55" s="519">
        <f>STRCHECKDATE(X57:AP57)</f>
      </c>
      <c r="AS55" s="508"/>
      <c r="AT55" s="508" t="str">
        <f>IF(V55="","",V55)</f>
        <v/>
      </c>
      <c r="AU55" s="508"/>
      <c r="AV55" s="508"/>
      <c r="AW55" s="1163">
        <v>21</v>
      </c>
    </row>
    <row customHeight="1" ht="11.549999999999999">
      <c r="A56" s="1275" t="s">
        <v>193</v>
      </c>
      <c r="B56" s="1275" t="s">
        <v>194</v>
      </c>
      <c r="C56" s="1275" t="s">
        <v>195</v>
      </c>
      <c r="D56" s="1275" t="s">
        <v>196</v>
      </c>
      <c r="E56" s="2311"/>
      <c r="F56" s="2311"/>
      <c r="G56" s="2311"/>
      <c r="H56" s="2332"/>
      <c r="I56" s="2122"/>
      <c r="J56" s="2122"/>
      <c r="K56" s="2122"/>
      <c r="L56" s="2148" t="str">
        <f>K55&amp;".1"</f>
        <v>....1.1.1.1</v>
      </c>
      <c r="M56" s="1318"/>
      <c r="Q56" s="2278"/>
      <c r="R56" s="2278"/>
      <c r="S56" s="526">
        <v>1</v>
      </c>
      <c r="T56" s="365"/>
      <c r="U56" s="1344" t="str">
        <f>$L56</f>
        <v>....1.1.1.1</v>
      </c>
      <c r="V56" s="1399"/>
      <c r="W56" s="308"/>
      <c r="X56" s="333"/>
      <c r="Y56" s="759"/>
      <c r="Z56" s="759"/>
      <c r="AA56" s="759"/>
      <c r="AB56" s="1413"/>
      <c r="AC56" s="2330"/>
      <c r="AD56" s="2128"/>
      <c r="AE56" s="2330"/>
      <c r="AF56" s="2128"/>
      <c r="AG56" s="1415"/>
      <c r="AH56" s="759"/>
      <c r="AI56" s="759"/>
      <c r="AJ56" s="759"/>
      <c r="AK56" s="1265"/>
      <c r="AL56" s="2330"/>
      <c r="AM56" s="2128"/>
      <c r="AN56" s="2330"/>
      <c r="AO56" s="2128"/>
      <c r="AP56" s="1356"/>
      <c r="AQ56" s="2274" t="s">
        <v>470</v>
      </c>
      <c r="AR56" s="519">
        <f>STRCHECKDATE(X58:AP58)</f>
      </c>
      <c r="AS56" s="508"/>
      <c r="AT56" s="508" t="str">
        <f>IF(V56="","",V56)</f>
        <v/>
      </c>
      <c r="AU56" s="508"/>
      <c r="AV56" s="508"/>
      <c r="AW56" s="1163">
        <v>11</v>
      </c>
    </row>
    <row customHeight="1" ht="0">
      <c r="A57" s="1275" t="s">
        <v>193</v>
      </c>
      <c r="B57" s="1275" t="s">
        <v>194</v>
      </c>
      <c r="C57" s="1275" t="s">
        <v>195</v>
      </c>
      <c r="D57" s="1275" t="s">
        <v>196</v>
      </c>
      <c r="E57" s="2311"/>
      <c r="F57" s="2311"/>
      <c r="G57" s="2311"/>
      <c r="H57" s="2332"/>
      <c r="I57" s="2122"/>
      <c r="J57" s="2122"/>
      <c r="K57" s="2122"/>
      <c r="L57" s="2148"/>
      <c r="M57" s="1318"/>
      <c r="Q57" s="2278"/>
      <c r="R57" s="2278"/>
      <c r="S57" s="526"/>
      <c r="T57" s="365"/>
      <c r="U57" s="1350"/>
      <c r="V57" s="308"/>
      <c r="W57" s="308"/>
      <c r="X57" s="333"/>
      <c r="Y57" s="333"/>
      <c r="Z57" s="333"/>
      <c r="AA57" s="333"/>
      <c r="AB57" s="1414" t="str">
        <f>AC55&amp;"-"&amp;AE55</f>
        <v>-</v>
      </c>
      <c r="AC57" s="2330"/>
      <c r="AD57" s="2128"/>
      <c r="AE57" s="2330"/>
      <c r="AF57" s="2128"/>
      <c r="AG57" s="1390"/>
      <c r="AH57" s="333"/>
      <c r="AI57" s="333"/>
      <c r="AJ57" s="333"/>
      <c r="AK57" s="336" t="str">
        <f>AL55&amp;"-"&amp;AN55</f>
        <v>-</v>
      </c>
      <c r="AL57" s="2330"/>
      <c r="AM57" s="2128"/>
      <c r="AN57" s="2330"/>
      <c r="AO57" s="2128"/>
      <c r="AP57" s="1357"/>
      <c r="AQ57" s="2275"/>
      <c r="AS57" s="508"/>
      <c r="AT57" s="508" t="str">
        <f>IF(V57="","",V57)</f>
        <v/>
      </c>
      <c r="AU57" s="508"/>
      <c r="AV57" s="508"/>
      <c r="AW57" s="1163">
        <v>0</v>
      </c>
    </row>
    <row customHeight="1" ht="11.549999999999999">
      <c r="A58" s="1275" t="s">
        <v>193</v>
      </c>
      <c r="B58" s="1275" t="s">
        <v>194</v>
      </c>
      <c r="C58" s="1275" t="s">
        <v>195</v>
      </c>
      <c r="D58" s="1275" t="s">
        <v>196</v>
      </c>
      <c r="E58" s="2311"/>
      <c r="F58" s="2311"/>
      <c r="G58" s="2311"/>
      <c r="H58" s="2332"/>
      <c r="I58" s="2122"/>
      <c r="J58" s="2122"/>
      <c r="K58" s="2148"/>
      <c r="L58" s="1275"/>
      <c r="M58" s="1318"/>
      <c r="Q58" s="2278"/>
      <c r="R58" s="2278"/>
      <c r="S58" s="1339"/>
      <c r="T58" s="364"/>
      <c r="U58" s="1286"/>
      <c r="V58" s="296" t="s">
        <v>471</v>
      </c>
      <c r="W58" s="375"/>
      <c r="X58" s="375"/>
      <c r="Y58" s="375"/>
      <c r="Z58" s="375"/>
      <c r="AA58" s="375"/>
      <c r="AB58" s="375"/>
      <c r="AC58" s="2330"/>
      <c r="AD58" s="2128"/>
      <c r="AE58" s="2330"/>
      <c r="AF58" s="2128"/>
      <c r="AG58" s="375"/>
      <c r="AH58" s="375"/>
      <c r="AI58" s="375"/>
      <c r="AJ58" s="375"/>
      <c r="AK58" s="375"/>
      <c r="AL58" s="2330"/>
      <c r="AM58" s="2128"/>
      <c r="AN58" s="2330"/>
      <c r="AO58" s="2128"/>
      <c r="AP58" s="332"/>
      <c r="AQ58" s="2275"/>
      <c r="AS58" s="508"/>
      <c r="AT58" s="508" t="str">
        <f>IF(V58="","",V58)</f>
        <v>Добавить наименование поставщика</v>
      </c>
      <c r="AU58" s="508"/>
      <c r="AV58" s="508"/>
      <c r="AW58" s="1163">
        <v>11</v>
      </c>
    </row>
    <row customHeight="1" ht="11.549999999999999">
      <c r="A59" s="1275" t="s">
        <v>193</v>
      </c>
      <c r="B59" s="1275" t="s">
        <v>194</v>
      </c>
      <c r="C59" s="1275" t="s">
        <v>195</v>
      </c>
      <c r="D59" s="1275" t="s">
        <v>196</v>
      </c>
      <c r="E59" s="2311"/>
      <c r="F59" s="2311"/>
      <c r="G59" s="2311"/>
      <c r="H59" s="2332"/>
      <c r="I59" s="2122"/>
      <c r="J59" s="2148"/>
      <c r="K59" s="1275"/>
      <c r="L59" s="1275"/>
      <c r="M59" s="1318"/>
      <c r="Q59" s="2278"/>
      <c r="R59" s="2278"/>
      <c r="S59" s="1339"/>
      <c r="T59" s="364"/>
      <c r="U59" s="1286"/>
      <c r="V59" s="295" t="s">
        <v>428</v>
      </c>
      <c r="W59" s="375"/>
      <c r="X59" s="375"/>
      <c r="Y59" s="375"/>
      <c r="Z59" s="375"/>
      <c r="AA59" s="375"/>
      <c r="AB59" s="375"/>
      <c r="AC59" s="1416"/>
      <c r="AD59" s="1416"/>
      <c r="AE59" s="1416"/>
      <c r="AF59" s="1416"/>
      <c r="AG59" s="375"/>
      <c r="AH59" s="375"/>
      <c r="AI59" s="375"/>
      <c r="AJ59" s="375"/>
      <c r="AK59" s="375"/>
      <c r="AL59" s="375"/>
      <c r="AM59" s="375"/>
      <c r="AN59" s="375"/>
      <c r="AO59" s="375"/>
      <c r="AP59" s="332"/>
      <c r="AQ59" s="2276"/>
      <c r="AS59" s="508"/>
      <c r="AT59" s="508" t="str">
        <f>IF(V59="","",V59)</f>
        <v>Добавить вид теплоносителя (параметры теплоносителя)</v>
      </c>
      <c r="AU59" s="508"/>
      <c r="AV59" s="508"/>
      <c r="AW59" s="1163">
        <v>11</v>
      </c>
    </row>
    <row customHeight="1" ht="11.549999999999999">
      <c r="A60" s="1275" t="s">
        <v>193</v>
      </c>
      <c r="B60" s="1275" t="s">
        <v>194</v>
      </c>
      <c r="C60" s="1275" t="s">
        <v>195</v>
      </c>
      <c r="D60" s="1275" t="s">
        <v>196</v>
      </c>
      <c r="E60" s="2311"/>
      <c r="F60" s="2311"/>
      <c r="G60" s="2311"/>
      <c r="H60" s="2332"/>
      <c r="I60" s="2148"/>
      <c r="J60" s="1275"/>
      <c r="K60" s="1275"/>
      <c r="L60" s="1275"/>
      <c r="M60" s="1318"/>
      <c r="Q60" s="2278"/>
      <c r="R60" s="1339"/>
      <c r="S60" s="1339"/>
      <c r="T60" s="364"/>
      <c r="U60" s="1286"/>
      <c r="V60" s="373" t="s">
        <v>429</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193</v>
      </c>
      <c r="B61" s="1275" t="s">
        <v>194</v>
      </c>
      <c r="C61" s="1275" t="s">
        <v>195</v>
      </c>
      <c r="D61" s="1275" t="s">
        <v>196</v>
      </c>
      <c r="E61" s="2311"/>
      <c r="F61" s="2311"/>
      <c r="G61" s="2311"/>
      <c r="H61" s="2331"/>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193</v>
      </c>
      <c r="B62" s="1383" t="s">
        <v>194</v>
      </c>
      <c r="C62" s="1383" t="s">
        <v>195</v>
      </c>
      <c r="D62" s="1382"/>
      <c r="E62" s="2311"/>
      <c r="F62" s="2311"/>
      <c r="G62" s="2310"/>
      <c r="H62" s="1382"/>
      <c r="I62" s="1382"/>
      <c r="J62" s="1382"/>
      <c r="K62" s="1382"/>
      <c r="L62" s="1382"/>
      <c r="M62" s="1385"/>
      <c r="N62" s="1386"/>
      <c r="O62" s="1386"/>
      <c r="P62" s="359"/>
      <c r="Q62" s="1324"/>
      <c r="R62" s="1325"/>
      <c r="S62" s="1324"/>
      <c r="T62" s="1324"/>
      <c r="U62" s="1330"/>
      <c r="V62" s="1333" t="s">
        <v>431</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193</v>
      </c>
      <c r="B63" s="1383" t="s">
        <v>194</v>
      </c>
      <c r="C63" s="1382"/>
      <c r="D63" s="1382"/>
      <c r="E63" s="2311"/>
      <c r="F63" s="2310"/>
      <c r="G63" s="1382"/>
      <c r="H63" s="1382"/>
      <c r="I63" s="1382"/>
      <c r="J63" s="1382"/>
      <c r="K63" s="1382"/>
      <c r="L63" s="1382"/>
      <c r="M63" s="1385"/>
      <c r="N63" s="1387"/>
      <c r="O63" s="1387"/>
      <c r="P63" s="359"/>
      <c r="Q63" s="1324"/>
      <c r="R63" s="1325"/>
      <c r="S63" s="1324"/>
      <c r="T63" s="1324"/>
      <c r="U63" s="1330"/>
      <c r="V63" s="1333" t="s">
        <v>432</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193</v>
      </c>
      <c r="B64" s="1383"/>
      <c r="C64" s="1383"/>
      <c r="D64" s="1383"/>
      <c r="E64" s="2310"/>
      <c r="F64" s="1383"/>
      <c r="G64" s="1383"/>
      <c r="H64" s="1383"/>
      <c r="I64" s="1383"/>
      <c r="J64" s="1383"/>
      <c r="K64" s="1383"/>
      <c r="L64" s="1383"/>
      <c r="M64" s="1389"/>
      <c r="N64" s="1387"/>
      <c r="O64" s="1387"/>
      <c r="P64" s="359"/>
      <c r="Q64" s="388"/>
      <c r="R64" s="1352"/>
      <c r="S64" s="388"/>
      <c r="T64" s="388"/>
      <c r="U64" s="1330"/>
      <c r="V64" s="1333" t="s">
        <v>433</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465</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63">
        <v>34</v>
      </c>
    </row>
    <row customHeight="1" ht="21">
      <c r="P68" s="517"/>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63">
        <v>20</v>
      </c>
    </row>
    <row customHeight="1" ht="14.699999999999998">
      <c r="P69" s="517"/>
      <c r="AW69" s="1163">
        <v>14</v>
      </c>
    </row>
    <row customHeight="1" ht="28.5">
      <c r="P70" s="517"/>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63">
        <v>27</v>
      </c>
    </row>
    <row customHeight="1" ht="18.75">
      <c r="P71" s="517"/>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4312A5-1735-2814-6A41-2BA58F00C109}" mc:Ignorable="x14ac xr xr2 xr3">
  <sheetPr>
    <tabColor rgb="FFCCCCFF"/>
  </sheetPr>
  <dimension ref="A1:Q79"/>
  <sheetViews>
    <sheetView topLeftCell="C1" showGridLines="0" zoomScale="90" workbookViewId="0">
      <selection activeCell="F56" sqref="F5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46"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7" t="str">
        <f>code</f>
        <v>Код отчёта: PP110.OPEN.INFO.BALANCE.HEAT.EIAS</v>
      </c>
      <c r="F2" s="277"/>
      <c r="G2" s="253"/>
      <c r="H2" s="253"/>
      <c r="I2" s="253"/>
      <c r="J2" s="880"/>
      <c r="K2" s="253"/>
      <c r="Q2" s="79">
        <v>14</v>
      </c>
    </row>
    <row customHeight="1" ht="14.699999999999998">
      <c r="E3" s="254" t="str">
        <f>version</f>
        <v>Версия отчёта: 1.1.5</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6"/>
      <c r="G9" s="780"/>
      <c r="I9" s="1905"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1" t="s">
        <v>19</v>
      </c>
      <c r="G10" s="85"/>
      <c r="H10" s="417"/>
      <c r="I10" s="419"/>
      <c r="J10" s="885"/>
      <c r="Q10" s="438">
        <v>24</v>
      </c>
    </row>
    <row customHeight="1" ht="22.5" hidden="1">
      <c r="A11" s="2119" t="s">
        <v>20</v>
      </c>
      <c r="D11" s="83"/>
      <c r="E11" s="1173" t="s">
        <v>21</v>
      </c>
      <c r="F11" s="1739" t="s">
        <v>22</v>
      </c>
      <c r="G11" s="85"/>
      <c r="H11" s="781" t="s">
        <v>23</v>
      </c>
      <c r="J11" s="884" t="s">
        <v>24</v>
      </c>
      <c r="Q11" s="82">
        <v>0</v>
      </c>
    </row>
    <row customHeight="1" ht="22.5" hidden="1">
      <c r="A12" s="2119"/>
      <c r="D12" s="83"/>
      <c r="E12" s="1173" t="s">
        <v>25</v>
      </c>
      <c r="F12" s="1739"/>
      <c r="G12" s="81"/>
      <c r="J12" s="884" t="s">
        <v>26</v>
      </c>
      <c r="Q12" s="82">
        <v>0</v>
      </c>
    </row>
    <row s="1643" customFormat="1" customHeight="1" ht="22.5" hidden="1">
      <c r="A13" s="796" t="s">
        <v>27</v>
      </c>
      <c r="B13" s="106"/>
      <c r="C13" s="416"/>
      <c r="D13" s="418"/>
      <c r="E13" s="1782" t="s">
        <v>28</v>
      </c>
      <c r="F13" s="1739" t="s">
        <v>22</v>
      </c>
      <c r="G13" s="85"/>
      <c r="H13" s="778"/>
      <c r="I13" s="419"/>
      <c r="J13" s="1783" t="s">
        <v>29</v>
      </c>
      <c r="Q13" s="417">
        <v>0</v>
      </c>
    </row>
    <row s="1643" customFormat="1" customHeight="1" ht="27">
      <c r="A14" s="796" t="s">
        <v>30</v>
      </c>
      <c r="B14" s="106"/>
      <c r="C14" s="416"/>
      <c r="D14" s="418"/>
      <c r="E14" s="1173" t="s">
        <v>31</v>
      </c>
      <c r="F14" s="1774">
        <v>2024</v>
      </c>
      <c r="G14" s="85"/>
      <c r="H14" s="778"/>
      <c r="I14" s="419"/>
      <c r="J14" s="884" t="s">
        <v>32</v>
      </c>
      <c r="Q14" s="417">
        <v>0</v>
      </c>
    </row>
    <row s="1643" customFormat="1" customHeight="1" ht="19.5" hidden="1">
      <c r="A15" s="796" t="s">
        <v>33</v>
      </c>
      <c r="B15" s="106"/>
      <c r="C15" s="416"/>
      <c r="D15" s="418"/>
      <c r="E15" s="1173" t="s">
        <v>34</v>
      </c>
      <c r="F15" s="1774"/>
      <c r="G15" s="85"/>
      <c r="H15" s="778"/>
      <c r="I15" s="419"/>
      <c r="J15" s="884" t="s">
        <v>35</v>
      </c>
      <c r="Q15" s="417">
        <v>0</v>
      </c>
    </row>
    <row s="1620" customFormat="1" customHeight="1" ht="6.3">
      <c r="A16" s="793"/>
      <c r="B16" s="240"/>
      <c r="C16" s="241"/>
      <c r="D16" s="247"/>
      <c r="E16" s="245"/>
      <c r="F16" s="248"/>
      <c r="G16" s="85"/>
      <c r="H16" s="417"/>
      <c r="I16" s="419"/>
      <c r="J16" s="882"/>
      <c r="Q16" s="244">
        <v>6</v>
      </c>
    </row>
    <row customHeight="1" ht="21">
      <c r="D17" s="83"/>
      <c r="E17" s="399" t="s">
        <v>36</v>
      </c>
      <c r="F17" s="224" t="s">
        <v>37</v>
      </c>
      <c r="G17" s="81"/>
      <c r="H17" s="781" t="s">
        <v>23</v>
      </c>
      <c r="Q17" s="82">
        <v>20</v>
      </c>
    </row>
    <row customHeight="1" ht="25.5" hidden="1">
      <c r="D18" s="83"/>
      <c r="E18" s="1782" t="s">
        <v>38</v>
      </c>
      <c r="F18" s="1740"/>
      <c r="G18" s="81"/>
      <c r="I18" s="782"/>
      <c r="J18" s="2118" t="s">
        <v>39</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1"/>
      <c r="I19" s="782"/>
      <c r="J19" s="2118"/>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40</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39"/>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41</v>
      </c>
      <c r="F23" s="224"/>
      <c r="G23" s="81"/>
      <c r="Q23" s="82">
        <v>0</v>
      </c>
    </row>
    <row customHeight="1" ht="19.5" hidden="1">
      <c r="D24" s="83"/>
      <c r="E24" s="399" t="s">
        <v>42</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43</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0"/>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44</v>
      </c>
      <c r="F28" s="226"/>
      <c r="G28" s="81"/>
      <c r="Q28" s="82">
        <v>0</v>
      </c>
    </row>
    <row customHeight="1" ht="19.5" hidden="1">
      <c r="D29" s="83"/>
      <c r="E29" s="399" t="s">
        <v>42</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45</v>
      </c>
      <c r="G31" s="784"/>
      <c r="Q31" s="82">
        <v>20</v>
      </c>
    </row>
    <row customHeight="1" ht="21" hidden="1">
      <c r="C32" s="86"/>
      <c r="D32" s="87"/>
      <c r="E32" s="400" t="s">
        <v>46</v>
      </c>
      <c r="F32" s="225"/>
      <c r="G32" s="784"/>
      <c r="Q32" s="82">
        <v>20</v>
      </c>
    </row>
    <row customHeight="1" ht="21">
      <c r="C33" s="86"/>
      <c r="D33" s="87"/>
      <c r="E33" s="399" t="s">
        <v>47</v>
      </c>
      <c r="F33" s="225" t="s">
        <v>48</v>
      </c>
      <c r="G33" s="784"/>
      <c r="Q33" s="82">
        <v>20</v>
      </c>
    </row>
    <row customHeight="1" ht="21">
      <c r="C34" s="86"/>
      <c r="D34" s="87"/>
      <c r="E34" s="399" t="s">
        <v>49</v>
      </c>
      <c r="F34" s="225" t="s">
        <v>50</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51</v>
      </c>
      <c r="F36" s="1218" t="s">
        <v>52</v>
      </c>
      <c r="G36" s="85"/>
      <c r="Q36" s="82">
        <v>0</v>
      </c>
    </row>
    <row customHeight="1" ht="21">
      <c r="A37" s="887"/>
      <c r="D37" s="87"/>
      <c r="E37" s="399" t="s">
        <v>53</v>
      </c>
      <c r="F37" s="1218" t="s">
        <v>54</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55</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56</v>
      </c>
      <c r="F43" s="718" t="s">
        <v>19</v>
      </c>
      <c r="G43" s="81"/>
      <c r="I43" s="419"/>
      <c r="J43" s="884"/>
      <c r="Q43" s="417">
        <v>0</v>
      </c>
    </row>
    <row s="1643" customFormat="1" customHeight="1" ht="27" hidden="1">
      <c r="A44" s="792"/>
      <c r="B44" s="421"/>
      <c r="C44" s="416"/>
      <c r="D44" s="418"/>
      <c r="E44" s="1173" t="s">
        <v>57</v>
      </c>
      <c r="F44" s="1893"/>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58</v>
      </c>
      <c r="F46" s="718" t="s">
        <v>19</v>
      </c>
      <c r="G46" s="81"/>
      <c r="H46" s="417"/>
      <c r="I46" s="419"/>
      <c r="J46" s="884"/>
      <c r="Q46" s="438">
        <v>0</v>
      </c>
    </row>
    <row s="1643" customFormat="1" customHeight="1" ht="24.75" hidden="1">
      <c r="A47" s="792"/>
      <c r="B47" s="421"/>
      <c r="C47" s="416"/>
      <c r="D47" s="418"/>
      <c r="E47" s="1173" t="s">
        <v>59</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c r="A50" s="793"/>
      <c r="B50" s="434"/>
      <c r="C50" s="435"/>
      <c r="D50" s="247"/>
      <c r="E50" s="245"/>
      <c r="F50" s="248"/>
      <c r="G50" s="85"/>
      <c r="H50" s="417"/>
      <c r="I50" s="419"/>
      <c r="J50" s="884"/>
      <c r="Q50" s="438">
        <v>0</v>
      </c>
    </row>
    <row s="1643" customFormat="1" customHeight="1" ht="28.5">
      <c r="A51" s="794"/>
      <c r="B51" s="421"/>
      <c r="C51" s="538"/>
      <c r="D51" s="539"/>
      <c r="E51" s="399" t="s">
        <v>60</v>
      </c>
      <c r="F51" s="718" t="s">
        <v>61</v>
      </c>
      <c r="G51" s="540"/>
      <c r="I51" s="542"/>
      <c r="J51" s="886"/>
      <c r="P51" s="543"/>
      <c r="Q51" s="541">
        <v>0</v>
      </c>
    </row>
    <row s="1620" customFormat="1" customHeight="1" ht="6">
      <c r="A52" s="793"/>
      <c r="B52" s="434"/>
      <c r="C52" s="435"/>
      <c r="D52" s="247"/>
      <c r="E52" s="245"/>
      <c r="F52" s="248"/>
      <c r="G52" s="85"/>
      <c r="H52" s="417"/>
      <c r="I52" s="419"/>
      <c r="J52" s="882"/>
      <c r="Q52" s="438">
        <v>0</v>
      </c>
    </row>
    <row s="1643" customFormat="1" customHeight="1" ht="27">
      <c r="A53" s="794"/>
      <c r="B53" s="421"/>
      <c r="C53" s="538"/>
      <c r="D53" s="539"/>
      <c r="E53" s="399" t="s">
        <v>62</v>
      </c>
      <c r="F53" s="1056" t="s">
        <v>61</v>
      </c>
      <c r="G53" s="540"/>
      <c r="I53" s="542"/>
      <c r="J53" s="886"/>
      <c r="P53" s="543"/>
      <c r="Q53" s="541">
        <v>0</v>
      </c>
    </row>
    <row s="1643" customFormat="1" customHeight="1" ht="27">
      <c r="A54" s="794"/>
      <c r="B54" s="421"/>
      <c r="C54" s="538"/>
      <c r="D54" s="539"/>
      <c r="E54" s="399" t="s">
        <v>63</v>
      </c>
      <c r="F54" s="2652">
        <v>45744.39053240741</v>
      </c>
      <c r="G54" s="540"/>
      <c r="I54" s="542"/>
      <c r="J54" s="886"/>
      <c r="P54" s="543"/>
      <c r="Q54" s="541">
        <v>0</v>
      </c>
    </row>
    <row s="1620" customFormat="1" customHeight="1" ht="19.166666666666664">
      <c r="A55" s="793"/>
      <c r="B55" s="434"/>
      <c r="C55" s="435"/>
      <c r="D55" s="247"/>
      <c r="E55" s="245"/>
      <c r="F55" s="248"/>
      <c r="G55" s="85"/>
      <c r="H55" s="417"/>
      <c r="I55" s="419"/>
      <c r="J55" s="882"/>
      <c r="Q55" s="438">
        <v>0</v>
      </c>
    </row>
    <row s="1643" customFormat="1" customHeight="1" ht="34.166666666666664">
      <c r="A56" s="794"/>
      <c r="B56" s="421"/>
      <c r="C56" s="538"/>
      <c r="D56" s="539"/>
      <c r="E56" s="399" t="s">
        <v>64</v>
      </c>
      <c r="F56" s="1056" t="s">
        <v>19</v>
      </c>
      <c r="G56" s="540"/>
      <c r="I56" s="542"/>
      <c r="J56" s="886"/>
      <c r="P56" s="543"/>
      <c r="Q56" s="541">
        <v>0</v>
      </c>
    </row>
    <row s="1620" customFormat="1" customHeight="1" ht="20.833333333333332">
      <c r="A57" s="793"/>
      <c r="B57" s="434"/>
      <c r="C57" s="435"/>
      <c r="D57" s="247"/>
      <c r="E57" s="245"/>
      <c r="F57" s="248"/>
      <c r="G57" s="85"/>
      <c r="H57" s="417"/>
      <c r="I57" s="419"/>
      <c r="J57" s="882"/>
      <c r="Q57" s="438">
        <v>0</v>
      </c>
    </row>
    <row s="1643" customFormat="1" customHeight="1" ht="43.333333333333336">
      <c r="A58" s="794"/>
      <c r="B58" s="421"/>
      <c r="C58" s="538"/>
      <c r="D58" s="539"/>
      <c r="E58" s="399" t="s">
        <v>65</v>
      </c>
      <c r="F58" s="1056" t="s">
        <v>61</v>
      </c>
      <c r="G58" s="540"/>
      <c r="I58" s="542"/>
      <c r="J58" s="886"/>
      <c r="P58" s="543"/>
      <c r="Q58" s="541">
        <v>0</v>
      </c>
    </row>
    <row s="1643" customFormat="1" customHeight="1" ht="75">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t="s">
        <v>19</v>
      </c>
      <c r="G59" s="540"/>
      <c r="I59" s="542"/>
      <c r="J59" s="886"/>
      <c r="P59" s="543"/>
      <c r="Q59" s="541">
        <v>0</v>
      </c>
    </row>
    <row s="1643" customFormat="1" customHeight="1" ht="15">
      <c r="A60" s="794"/>
      <c r="B60" s="421"/>
      <c r="C60" s="538"/>
      <c r="D60" s="539"/>
      <c r="E60" s="1173" t="s">
        <v>66</v>
      </c>
      <c r="F60" s="1218" t="s">
        <v>67</v>
      </c>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8"/>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653"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A7147A8-C1AC-0AEB-8F6E-D95E7CCEDE83}"/>
    <hyperlink ref="H17" location="Титульный!H9" display="Как заполнить?" tooltip="Помощь по работе с полями отчётной формы" xr:uid="{B314E85E-3432-D176-0E3C-C9699F6C2545}"/>
    <hyperlink ref="H39" location="Титульный!H9" display="Как заполнить?" tooltip="Помощь по работе с полями отчётной формы" xr:uid="{B591357A-AB82-DFD6-7328-1D9FF21F6EF8}"/>
    <hyperlink ref="H62" location="Титульный!H9" display="Как заполнить?" tooltip="Помощь по работе с полями отчётной формы" xr:uid="{C284DA05-BB1F-6E69-BB2F-B11DE2560C2B}"/>
    <hyperlink ref="F70" r:id="rId4" xr:uid="{B9B83B9C-4904-3E7B-60D4-CAE66DFA0EB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B2AC8-56AC-FC26-D845-E4C6DF8F658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344">
        <f>INDEX(PT_DIFFERENTIATION_NUM_NTAR,MATCH(A2,PT_DIFFERENTIATION_NTAR_ID,0))</f>
      </c>
      <c r="T2" s="306" t="s">
        <v>142</v>
      </c>
      <c r="U2" s="308"/>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6" t="s">
        <v>413</v>
      </c>
      <c r="AW2" s="508"/>
      <c r="AX2" s="508" t="str">
        <f>IF(T2="","",T2)</f>
        <v>Наименование тарифа</v>
      </c>
      <c r="AY2" s="508"/>
      <c r="AZ2" s="508"/>
      <c r="BA2" s="1163">
        <v>0</v>
      </c>
    </row>
    <row customHeight="1" ht="21" hidden="1">
      <c r="A3" s="1371"/>
      <c r="B3" s="1371"/>
      <c r="C3" s="1371"/>
      <c r="D3" s="1371"/>
      <c r="E3" s="2280"/>
      <c r="F3" s="2279">
        <v>1</v>
      </c>
      <c r="G3" s="1371"/>
      <c r="H3" s="1371"/>
      <c r="I3" s="1371"/>
      <c r="J3" s="1371"/>
      <c r="K3" s="1371"/>
      <c r="L3" s="1372"/>
      <c r="M3" s="1373"/>
      <c r="N3" s="1373"/>
      <c r="O3" s="1373"/>
      <c r="P3" s="1418"/>
      <c r="Q3" s="1419"/>
      <c r="R3" s="361"/>
      <c r="S3" s="1344">
        <f>INDEX(PT_DIFFERENTIATION_NUM_TER,MATCH(B3,PT_DIFFERENTIATION_TER_ID,0))</f>
      </c>
      <c r="T3" s="316" t="s">
        <v>414</v>
      </c>
      <c r="U3" s="308"/>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6" t="s">
        <v>415</v>
      </c>
      <c r="AW3" s="508"/>
      <c r="AX3" s="508" t="str">
        <f>IF(T3="","",T3)</f>
        <v>Территория действия тарифа</v>
      </c>
      <c r="AY3" s="508"/>
      <c r="AZ3" s="508"/>
      <c r="BA3" s="1163">
        <v>0</v>
      </c>
    </row>
    <row customHeight="1" ht="22.5" hidden="1">
      <c r="A4" s="1371"/>
      <c r="B4" s="1371"/>
      <c r="C4" s="1371"/>
      <c r="D4" s="1371"/>
      <c r="E4" s="2280"/>
      <c r="F4" s="2280"/>
      <c r="G4" s="2279">
        <v>1</v>
      </c>
      <c r="H4" s="1371"/>
      <c r="I4" s="1371"/>
      <c r="J4" s="1371"/>
      <c r="K4" s="1371"/>
      <c r="L4" s="1372"/>
      <c r="M4" s="1373"/>
      <c r="N4" s="1373"/>
      <c r="O4" s="1373"/>
      <c r="P4" s="1420"/>
      <c r="Q4" s="1419"/>
      <c r="R4" s="361"/>
      <c r="S4" s="1344">
        <f>INDEX(PT_DIFFERENTIATION_NUM_CS,MATCH(C4,PT_DIFFERENTIATION_CS_ID,0))</f>
      </c>
      <c r="T4" s="317" t="s">
        <v>416</v>
      </c>
      <c r="U4" s="308"/>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6" t="s">
        <v>417</v>
      </c>
      <c r="AW4" s="508"/>
      <c r="AX4" s="508" t="str">
        <f>IF(T4="","",T4)</f>
        <v>Наименование системы теплоснабжения </v>
      </c>
      <c r="AY4" s="508"/>
      <c r="AZ4" s="508"/>
      <c r="BA4" s="1163">
        <v>0</v>
      </c>
    </row>
    <row customHeight="1" ht="21" hidden="1">
      <c r="A5" s="1371"/>
      <c r="B5" s="1371"/>
      <c r="C5" s="1371"/>
      <c r="D5" s="1371"/>
      <c r="E5" s="2280"/>
      <c r="F5" s="2280"/>
      <c r="G5" s="2280"/>
      <c r="H5" s="2279">
        <v>1</v>
      </c>
      <c r="I5" s="1371"/>
      <c r="J5" s="1371"/>
      <c r="K5" s="1371"/>
      <c r="L5" s="1372"/>
      <c r="M5" s="1373"/>
      <c r="N5" s="1373"/>
      <c r="O5" s="1373"/>
      <c r="P5" s="1420"/>
      <c r="Q5" s="1419"/>
      <c r="R5" s="361"/>
      <c r="S5" s="1344">
        <f>INDEX(PT_DIFFERENTIATION_NUM_IST_TE,MATCH(D5,PT_DIFFERENTIATION_IST_TE_ID,0))</f>
      </c>
      <c r="T5" s="318" t="s">
        <v>418</v>
      </c>
      <c r="U5" s="308"/>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6" t="s">
        <v>419</v>
      </c>
      <c r="AW5" s="508"/>
      <c r="AX5" s="508" t="str">
        <f>IF(T5="","",T5)</f>
        <v>Источник тепловой энергии  </v>
      </c>
      <c r="AY5" s="508"/>
      <c r="AZ5" s="508"/>
      <c r="BA5" s="1163">
        <v>0</v>
      </c>
    </row>
    <row s="1650" customFormat="1" customHeight="1" ht="0.75" hidden="1">
      <c r="A6" s="1351"/>
      <c r="B6" s="1351"/>
      <c r="C6" s="1351"/>
      <c r="D6" s="1351"/>
      <c r="E6" s="2280"/>
      <c r="F6" s="2280"/>
      <c r="G6" s="2280"/>
      <c r="H6" s="2280"/>
      <c r="I6" s="2277">
        <f>S5&amp;".1"</f>
      </c>
      <c r="J6" s="1351"/>
      <c r="K6" s="1351"/>
      <c r="L6" s="1354" t="s">
        <v>420</v>
      </c>
      <c r="M6" s="518"/>
      <c r="N6" s="518"/>
      <c r="O6" s="518"/>
      <c r="P6" s="2278">
        <v>1</v>
      </c>
      <c r="Q6" s="1339"/>
      <c r="R6" s="364"/>
      <c r="S6" s="1050"/>
      <c r="T6" s="1391"/>
      <c r="U6" s="1392"/>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93"/>
      <c r="AW6" s="508"/>
      <c r="AX6" s="508" t="str">
        <f>IF(T6="","",T6)</f>
        <v/>
      </c>
      <c r="AY6" s="508"/>
      <c r="AZ6" s="508"/>
      <c r="BA6" s="519">
        <v>0</v>
      </c>
    </row>
    <row s="1650" customFormat="1" customHeight="1" ht="0.75" hidden="1">
      <c r="A7" s="1351"/>
      <c r="B7" s="1351"/>
      <c r="C7" s="1351"/>
      <c r="D7" s="1351"/>
      <c r="E7" s="2280"/>
      <c r="F7" s="2280"/>
      <c r="G7" s="2280"/>
      <c r="H7" s="2280"/>
      <c r="I7" s="2307"/>
      <c r="J7" s="2277">
        <f>S5&amp;".1"</f>
      </c>
      <c r="K7" s="1351"/>
      <c r="L7" s="1354"/>
      <c r="M7" s="518"/>
      <c r="N7" s="518"/>
      <c r="O7" s="518"/>
      <c r="P7" s="2278"/>
      <c r="Q7" s="2278">
        <v>1</v>
      </c>
      <c r="R7" s="365"/>
      <c r="S7" s="1050"/>
      <c r="T7" s="1407"/>
      <c r="U7" s="1392"/>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93"/>
      <c r="AW7" s="508"/>
      <c r="AX7" s="508" t="str">
        <f>IF(T7="","",T7)</f>
        <v/>
      </c>
      <c r="AY7" s="508"/>
      <c r="AZ7" s="508"/>
      <c r="BA7" s="519">
        <v>0</v>
      </c>
    </row>
    <row customHeight="1" ht="21" hidden="1">
      <c r="A8" s="1371"/>
      <c r="B8" s="1371"/>
      <c r="C8" s="1371"/>
      <c r="D8" s="1371"/>
      <c r="E8" s="2280"/>
      <c r="F8" s="2280"/>
      <c r="G8" s="2280"/>
      <c r="H8" s="2280"/>
      <c r="I8" s="2307"/>
      <c r="J8" s="2307"/>
      <c r="K8" s="2277">
        <f>S5&amp;".1"</f>
      </c>
      <c r="L8" s="1372"/>
      <c r="P8" s="2278"/>
      <c r="Q8" s="2278"/>
      <c r="R8" s="2368">
        <v>1</v>
      </c>
      <c r="S8" s="2362">
        <f>$K8</f>
      </c>
      <c r="T8" s="2365"/>
      <c r="U8" s="308"/>
      <c r="V8" s="759"/>
      <c r="W8" s="1265"/>
      <c r="X8" s="2286"/>
      <c r="Y8" s="2128" t="s">
        <v>61</v>
      </c>
      <c r="Z8" s="2286"/>
      <c r="AA8" s="2128" t="s">
        <v>61</v>
      </c>
      <c r="AB8" s="2128" t="s">
        <v>19</v>
      </c>
      <c r="AC8" s="2347"/>
      <c r="AD8" s="2226">
        <v>1</v>
      </c>
      <c r="AE8" s="2348"/>
      <c r="AF8" s="2128" t="s">
        <v>19</v>
      </c>
      <c r="AG8" s="2347"/>
      <c r="AH8" s="2226">
        <v>1</v>
      </c>
      <c r="AI8" s="2348"/>
      <c r="AJ8" s="2128" t="s">
        <v>19</v>
      </c>
      <c r="AK8" s="319"/>
      <c r="AL8" s="1345">
        <v>1</v>
      </c>
      <c r="AM8" s="1406"/>
      <c r="AN8" s="759"/>
      <c r="AO8" s="1265"/>
      <c r="AP8" s="1741"/>
      <c r="AQ8" s="1467" t="s">
        <v>61</v>
      </c>
      <c r="AR8" s="1741"/>
      <c r="AS8" s="1467" t="s">
        <v>61</v>
      </c>
      <c r="AT8" s="1356"/>
      <c r="AU8" s="2274" t="s">
        <v>481</v>
      </c>
      <c r="AV8" s="519">
        <f>STRCHECKDATE(V11:AT11)</f>
      </c>
      <c r="AW8" s="508"/>
      <c r="AX8" s="508" t="str">
        <f>IF(T8="","",T8)</f>
        <v/>
      </c>
      <c r="AY8" s="508"/>
      <c r="AZ8" s="508"/>
      <c r="BA8" s="1163">
        <v>0</v>
      </c>
    </row>
    <row customHeight="1" ht="11.25" hidden="1">
      <c r="A9" s="1371"/>
      <c r="B9" s="1371"/>
      <c r="C9" s="1371"/>
      <c r="D9" s="1371"/>
      <c r="E9" s="2280"/>
      <c r="F9" s="2280"/>
      <c r="G9" s="2280"/>
      <c r="H9" s="2280"/>
      <c r="I9" s="2307"/>
      <c r="J9" s="2307"/>
      <c r="K9" s="2277"/>
      <c r="L9" s="1372"/>
      <c r="P9" s="2278"/>
      <c r="Q9" s="2278"/>
      <c r="R9" s="2368"/>
      <c r="S9" s="2363"/>
      <c r="T9" s="2366"/>
      <c r="U9" s="308"/>
      <c r="V9" s="1401"/>
      <c r="W9" s="1405"/>
      <c r="X9" s="2286"/>
      <c r="Y9" s="2128"/>
      <c r="Z9" s="2286"/>
      <c r="AA9" s="2128"/>
      <c r="AB9" s="2128"/>
      <c r="AC9" s="2347"/>
      <c r="AD9" s="2226"/>
      <c r="AE9" s="2348"/>
      <c r="AF9" s="2128"/>
      <c r="AG9" s="2347"/>
      <c r="AH9" s="2226"/>
      <c r="AI9" s="2348"/>
      <c r="AJ9" s="2128"/>
      <c r="AK9" s="324"/>
      <c r="AL9" s="424"/>
      <c r="AM9" s="423" t="s">
        <v>482</v>
      </c>
      <c r="AN9" s="1401"/>
      <c r="AO9" s="1504"/>
      <c r="AP9" s="1401"/>
      <c r="AQ9" s="1401"/>
      <c r="AR9" s="1401"/>
      <c r="AS9" s="1401"/>
      <c r="AT9" s="1398"/>
      <c r="AU9" s="2275"/>
      <c r="AW9" s="508"/>
      <c r="AX9" s="508"/>
      <c r="AY9" s="508"/>
      <c r="AZ9" s="508"/>
      <c r="BA9" s="1163">
        <v>0</v>
      </c>
    </row>
    <row customHeight="1" ht="11.25" hidden="1">
      <c r="A10" s="1371"/>
      <c r="B10" s="1371"/>
      <c r="C10" s="1371"/>
      <c r="D10" s="1371"/>
      <c r="E10" s="2280"/>
      <c r="F10" s="2280"/>
      <c r="G10" s="2280"/>
      <c r="H10" s="2280"/>
      <c r="I10" s="2307"/>
      <c r="J10" s="2307"/>
      <c r="K10" s="2277"/>
      <c r="L10" s="1372"/>
      <c r="P10" s="2278"/>
      <c r="Q10" s="2278"/>
      <c r="R10" s="2368"/>
      <c r="S10" s="2363"/>
      <c r="T10" s="2366"/>
      <c r="U10" s="308"/>
      <c r="V10" s="1401"/>
      <c r="W10" s="1405"/>
      <c r="X10" s="2286"/>
      <c r="Y10" s="2128"/>
      <c r="Z10" s="2286"/>
      <c r="AA10" s="2128"/>
      <c r="AB10" s="2128"/>
      <c r="AC10" s="2347"/>
      <c r="AD10" s="2226"/>
      <c r="AE10" s="2348"/>
      <c r="AF10" s="2128"/>
      <c r="AG10" s="302"/>
      <c r="AH10" s="423"/>
      <c r="AI10" s="423" t="s">
        <v>483</v>
      </c>
      <c r="AJ10" s="1401"/>
      <c r="AK10" s="1401"/>
      <c r="AL10" s="1401"/>
      <c r="AM10" s="1401"/>
      <c r="AN10" s="1401"/>
      <c r="AO10" s="1504"/>
      <c r="AP10" s="1401"/>
      <c r="AQ10" s="1401"/>
      <c r="AR10" s="1401"/>
      <c r="AS10" s="1401"/>
      <c r="AT10" s="1398"/>
      <c r="AU10" s="2275"/>
      <c r="AW10" s="508"/>
      <c r="AX10" s="508"/>
      <c r="AY10" s="508"/>
      <c r="AZ10" s="508"/>
      <c r="BA10" s="1163">
        <v>0</v>
      </c>
    </row>
    <row customHeight="1" ht="11.25" hidden="1">
      <c r="A11" s="1371"/>
      <c r="B11" s="1371"/>
      <c r="C11" s="1371"/>
      <c r="D11" s="1371"/>
      <c r="E11" s="2280"/>
      <c r="F11" s="2280"/>
      <c r="G11" s="2280"/>
      <c r="H11" s="2280"/>
      <c r="I11" s="2307"/>
      <c r="J11" s="2307"/>
      <c r="K11" s="2277"/>
      <c r="L11" s="1372"/>
      <c r="P11" s="2278"/>
      <c r="Q11" s="2278"/>
      <c r="R11" s="2368"/>
      <c r="S11" s="2364"/>
      <c r="T11" s="2367"/>
      <c r="U11" s="308"/>
      <c r="V11" s="1401"/>
      <c r="W11" s="1404" t="str">
        <f>X8&amp;"-"&amp;Z8</f>
        <v>-</v>
      </c>
      <c r="X11" s="2287"/>
      <c r="Y11" s="2128"/>
      <c r="Z11" s="2287"/>
      <c r="AA11" s="2128"/>
      <c r="AB11" s="2128"/>
      <c r="AC11" s="320"/>
      <c r="AD11" s="322"/>
      <c r="AE11" s="423" t="s">
        <v>484</v>
      </c>
      <c r="AF11" s="1401"/>
      <c r="AG11" s="1401"/>
      <c r="AH11" s="1401"/>
      <c r="AI11" s="1401"/>
      <c r="AJ11" s="1401"/>
      <c r="AK11" s="1401"/>
      <c r="AL11" s="1401"/>
      <c r="AM11" s="1401"/>
      <c r="AN11" s="1401"/>
      <c r="AO11" s="1402" t="str">
        <f>AP8&amp;"-"&amp;AR8</f>
        <v>-</v>
      </c>
      <c r="AP11" s="1401"/>
      <c r="AQ11" s="1401"/>
      <c r="AR11" s="1401"/>
      <c r="AS11" s="1401"/>
      <c r="AT11" s="1357"/>
      <c r="AU11" s="2275"/>
      <c r="AW11" s="508"/>
      <c r="AX11" s="508" t="str">
        <f>IF(T11="","",T11)</f>
        <v/>
      </c>
      <c r="AY11" s="508"/>
      <c r="AZ11" s="508"/>
      <c r="BA11" s="1163">
        <v>0</v>
      </c>
    </row>
    <row customHeight="1" ht="11.25" hidden="1">
      <c r="A12" s="1371"/>
      <c r="B12" s="1371"/>
      <c r="C12" s="1371"/>
      <c r="D12" s="1371"/>
      <c r="E12" s="2280"/>
      <c r="F12" s="2280"/>
      <c r="G12" s="2280"/>
      <c r="H12" s="2280"/>
      <c r="I12" s="2307"/>
      <c r="J12" s="2277"/>
      <c r="K12" s="1371"/>
      <c r="L12" s="1372"/>
      <c r="P12" s="2278"/>
      <c r="Q12" s="2278"/>
      <c r="R12" s="364"/>
      <c r="S12" s="1286"/>
      <c r="T12" s="295" t="s">
        <v>485</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76"/>
      <c r="AW12" s="508"/>
      <c r="AX12" s="508" t="str">
        <f>IF(T12="","",T12)</f>
        <v>Добавить строку</v>
      </c>
      <c r="AY12" s="508"/>
      <c r="AZ12" s="508"/>
      <c r="BA12" s="1163">
        <v>0</v>
      </c>
    </row>
    <row s="1650" customFormat="1" customHeight="1" ht="0.75" hidden="1">
      <c r="A13" s="1351"/>
      <c r="B13" s="1351"/>
      <c r="C13" s="1351"/>
      <c r="D13" s="1351"/>
      <c r="E13" s="2280"/>
      <c r="F13" s="2280"/>
      <c r="G13" s="2280"/>
      <c r="H13" s="2280"/>
      <c r="I13" s="2277"/>
      <c r="J13" s="1351"/>
      <c r="K13" s="1351"/>
      <c r="L13" s="1354"/>
      <c r="M13" s="518"/>
      <c r="N13" s="518"/>
      <c r="O13" s="518"/>
      <c r="P13" s="2278"/>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80"/>
      <c r="F14" s="2280"/>
      <c r="G14" s="2280"/>
      <c r="H14" s="2279"/>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80"/>
      <c r="F15" s="2280"/>
      <c r="G15" s="2279"/>
      <c r="H15" s="1322"/>
      <c r="I15" s="1322"/>
      <c r="J15" s="1322"/>
      <c r="K15" s="1322"/>
      <c r="L15" s="1347"/>
      <c r="M15" s="1323"/>
      <c r="N15" s="1323"/>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80"/>
      <c r="F16" s="2279"/>
      <c r="G16" s="1322"/>
      <c r="H16" s="1322"/>
      <c r="I16" s="1322"/>
      <c r="J16" s="1322"/>
      <c r="K16" s="1322"/>
      <c r="L16" s="1347"/>
      <c r="M16" s="1329"/>
      <c r="N16" s="1329"/>
      <c r="P16" s="1324"/>
      <c r="Q16" s="1325"/>
      <c r="R16" s="1324"/>
      <c r="S16" s="1330"/>
      <c r="T16" s="1333" t="s">
        <v>432</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79"/>
      <c r="F17" s="1351"/>
      <c r="G17" s="1351"/>
      <c r="H17" s="1351"/>
      <c r="I17" s="1351"/>
      <c r="J17" s="1351"/>
      <c r="K17" s="1351"/>
      <c r="L17" s="1354"/>
      <c r="M17" s="1329"/>
      <c r="N17" s="1329"/>
      <c r="O17" s="526"/>
      <c r="P17" s="388"/>
      <c r="Q17" s="1352"/>
      <c r="R17" s="388"/>
      <c r="S17" s="1330"/>
      <c r="T17" s="1333" t="s">
        <v>433</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3"/>
      <c r="AQ19" s="1468" t="s">
        <v>61</v>
      </c>
      <c r="AR19" s="1743"/>
      <c r="AS19" s="1468" t="s">
        <v>61</v>
      </c>
      <c r="BA19" s="1163">
        <v>0</v>
      </c>
    </row>
    <row customHeight="1" ht="14.25" hidden="1">
      <c r="AV20" s="504"/>
      <c r="AW20" s="504"/>
      <c r="AX20" s="504"/>
      <c r="AY20" s="504"/>
      <c r="AZ20" s="504"/>
      <c r="BA20" s="1163">
        <v>0</v>
      </c>
    </row>
    <row customHeight="1" ht="14.25" hidden="1">
      <c r="O21" s="1375" t="s">
        <v>434</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435</v>
      </c>
      <c r="P23" s="1516"/>
      <c r="Q23" s="1518"/>
      <c r="R23" s="1518"/>
      <c r="Y23" s="1515" t="s">
        <v>437</v>
      </c>
      <c r="AA23" s="1515" t="s">
        <v>438</v>
      </c>
      <c r="AB23" s="1515" t="s">
        <v>486</v>
      </c>
      <c r="AE23" s="1515" t="s">
        <v>487</v>
      </c>
      <c r="AF23" s="1515" t="s">
        <v>486</v>
      </c>
      <c r="AI23" s="1515" t="s">
        <v>488</v>
      </c>
      <c r="AJ23" s="1515" t="s">
        <v>486</v>
      </c>
      <c r="AM23" s="1515" t="s">
        <v>489</v>
      </c>
      <c r="AQ23" s="1515" t="s">
        <v>437</v>
      </c>
      <c r="AS23" s="1515" t="s">
        <v>438</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51"/>
      <c r="BA27" s="1163">
        <v>26</v>
      </c>
    </row>
    <row customHeight="1" ht="14.699999999999998">
      <c r="Q28" s="299"/>
      <c r="R28" s="384"/>
      <c r="S28" s="2270" t="str">
        <f>IF(org=0,"Не определено",org)</f>
        <v>АО "ДГК"</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58" customFormat="1" customHeight="1" ht="25.5" hidden="1">
      <c r="A30" s="1376"/>
      <c r="B30" s="1376"/>
      <c r="C30" s="1376"/>
      <c r="D30" s="1376"/>
      <c r="E30" s="1376"/>
      <c r="F30" s="1376"/>
      <c r="G30" s="1376"/>
      <c r="H30" s="1376"/>
      <c r="I30" s="1376"/>
      <c r="J30" s="1376"/>
      <c r="K30" s="1376"/>
      <c r="L30" s="1377"/>
      <c r="M30" s="1376"/>
      <c r="N30" s="1376"/>
      <c r="O30" s="1376"/>
      <c r="P30" s="1376"/>
      <c r="Q30" s="1376"/>
      <c r="S30" s="2271" t="s">
        <v>41</v>
      </c>
      <c r="T30" s="2271"/>
      <c r="U30" s="1380"/>
      <c r="V30" s="2272" t="str">
        <f>IF(TITLE_NAME_OR_PR_CHANGE="",IF(TITLE_NAME_OR_PR="","",TITLE_NAME_OR_PR),TITLE_NAME_OR_PR_CHANGE)</f>
        <v/>
      </c>
      <c r="W30" s="2272"/>
      <c r="X30" s="2272"/>
      <c r="Y30" s="2272"/>
      <c r="Z30" s="2272"/>
      <c r="AA30" s="334"/>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34"/>
      <c r="AT30" s="334"/>
      <c r="AU30" s="288"/>
      <c r="AV30" s="376"/>
      <c r="AW30" s="376"/>
      <c r="AX30" s="376"/>
      <c r="AY30" s="376"/>
      <c r="AZ30" s="376"/>
      <c r="BA30" s="426">
        <v>0</v>
      </c>
    </row>
    <row s="1858" customFormat="1" customHeight="1" ht="18.75" hidden="1">
      <c r="A31" s="1376"/>
      <c r="B31" s="1376"/>
      <c r="C31" s="1376"/>
      <c r="D31" s="1376"/>
      <c r="E31" s="1376"/>
      <c r="F31" s="1376"/>
      <c r="G31" s="1376"/>
      <c r="H31" s="1376"/>
      <c r="I31" s="1376"/>
      <c r="J31" s="1376"/>
      <c r="K31" s="1376"/>
      <c r="L31" s="1377"/>
      <c r="M31" s="1376"/>
      <c r="N31" s="1376"/>
      <c r="O31" s="1376"/>
      <c r="P31" s="1376"/>
      <c r="Q31" s="1376"/>
      <c r="S31" s="2271" t="s">
        <v>440</v>
      </c>
      <c r="T31" s="2271"/>
      <c r="U31" s="1380"/>
      <c r="V31" s="2285" t="str">
        <f>IF(TITLE_DATE_PR_CHANGE="",IF(TITLE_DATE_PR="","",TITLE_DATE_PR),TITLE_DATE_PR_CHANGE)</f>
        <v/>
      </c>
      <c r="W31" s="2285"/>
      <c r="X31" s="2285"/>
      <c r="Y31" s="2285"/>
      <c r="Z31" s="2285"/>
      <c r="AA31" s="334"/>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34"/>
      <c r="AT31" s="334"/>
      <c r="AU31" s="288"/>
      <c r="AV31" s="376"/>
      <c r="AW31" s="376"/>
      <c r="AX31" s="376"/>
      <c r="AY31" s="376"/>
      <c r="AZ31" s="376"/>
      <c r="BA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441</v>
      </c>
      <c r="T32" s="2271"/>
      <c r="U32" s="1380"/>
      <c r="V32" s="2272" t="str">
        <f>IF(TITLE_NUMBER_PR_CHANGE="",IF(TITLE_NUMBER_PR="","",TITLE_NUMBER_PR),TITLE_NUMBER_PR_CHANGE)</f>
        <v/>
      </c>
      <c r="W32" s="2272"/>
      <c r="X32" s="2272"/>
      <c r="Y32" s="2272"/>
      <c r="Z32" s="2272"/>
      <c r="AA32" s="334"/>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34"/>
      <c r="AT32" s="334"/>
      <c r="AU32" s="288"/>
      <c r="AV32" s="376"/>
      <c r="AW32" s="376"/>
      <c r="AX32" s="376"/>
      <c r="AY32" s="376"/>
      <c r="AZ32" s="376"/>
      <c r="BA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42</v>
      </c>
      <c r="T33" s="2271"/>
      <c r="U33" s="1380"/>
      <c r="V33" s="2272" t="str">
        <f>IF(TITLE_IST_PUB_CHANGE="",IF(TITLE_IST_PUB="","",TITLE_IST_PUB),TITLE_IST_PUB_CHANGE)</f>
        <v/>
      </c>
      <c r="W33" s="2272"/>
      <c r="X33" s="2272"/>
      <c r="Y33" s="2272"/>
      <c r="Z33" s="2272"/>
      <c r="AA33" s="334"/>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58" customFormat="1" customHeight="1" ht="18.75" hidden="1">
      <c r="A35" s="1376"/>
      <c r="B35" s="1376"/>
      <c r="C35" s="1376"/>
      <c r="D35" s="1376"/>
      <c r="E35" s="1376"/>
      <c r="F35" s="1376"/>
      <c r="G35" s="1376"/>
      <c r="H35" s="1376"/>
      <c r="I35" s="1376"/>
      <c r="J35" s="1376"/>
      <c r="K35" s="1376"/>
      <c r="L35" s="1377"/>
      <c r="M35" s="1376"/>
      <c r="N35" s="1376"/>
      <c r="O35" s="1376"/>
      <c r="P35" s="1376"/>
      <c r="Q35" s="1376"/>
      <c r="S35" s="2271" t="s">
        <v>440</v>
      </c>
      <c r="T35" s="2271"/>
      <c r="U35" s="1380"/>
      <c r="V35" s="2285" t="str">
        <f>IF(TITLE_DATE_PR_CHANGE="",IF(TITLE_DATE_PR="","",TITLE_DATE_PR),TITLE_DATE_PR_CHANGE)</f>
        <v/>
      </c>
      <c r="W35" s="2285"/>
      <c r="X35" s="2285"/>
      <c r="Y35" s="2285"/>
      <c r="Z35" s="2285"/>
      <c r="AA35" s="334"/>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34"/>
      <c r="AT35" s="334"/>
      <c r="AU35" s="288"/>
      <c r="AV35" s="376"/>
      <c r="AW35" s="376"/>
      <c r="AX35" s="376"/>
      <c r="AY35" s="376"/>
      <c r="AZ35" s="376"/>
      <c r="BA35" s="426">
        <v>0</v>
      </c>
    </row>
    <row s="1858" customFormat="1" customHeight="1" ht="18" hidden="1">
      <c r="A36" s="1376"/>
      <c r="B36" s="1376"/>
      <c r="C36" s="1376"/>
      <c r="D36" s="1376"/>
      <c r="E36" s="1376"/>
      <c r="F36" s="1376"/>
      <c r="G36" s="1376"/>
      <c r="H36" s="1376"/>
      <c r="I36" s="1376"/>
      <c r="J36" s="1376"/>
      <c r="K36" s="1376"/>
      <c r="L36" s="1377"/>
      <c r="M36" s="1376"/>
      <c r="N36" s="1376"/>
      <c r="O36" s="1376"/>
      <c r="P36" s="1376"/>
      <c r="Q36" s="1376"/>
      <c r="S36" s="2271" t="s">
        <v>441</v>
      </c>
      <c r="T36" s="2271"/>
      <c r="U36" s="1380"/>
      <c r="V36" s="2272" t="str">
        <f>IF(TITLE_NUMBER_PR_CHANGE="",IF(TITLE_NUMBER_PR="","",TITLE_NUMBER_PR),TITLE_NUMBER_PR_CHANGE)</f>
        <v/>
      </c>
      <c r="W36" s="2272"/>
      <c r="X36" s="2272"/>
      <c r="Y36" s="2272"/>
      <c r="Z36" s="2272"/>
      <c r="AA36" s="334"/>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34"/>
      <c r="AT36" s="334"/>
      <c r="AU36" s="288"/>
      <c r="AV36" s="376"/>
      <c r="AW36" s="376"/>
      <c r="AX36" s="376"/>
      <c r="AY36" s="376"/>
      <c r="AZ36" s="376"/>
      <c r="BA36" s="426">
        <v>0</v>
      </c>
    </row>
    <row s="1858"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444</v>
      </c>
      <c r="AB37" s="334"/>
      <c r="AC37" s="334"/>
      <c r="AD37" s="334"/>
      <c r="AE37" s="334"/>
      <c r="AF37" s="334"/>
      <c r="AG37" s="334"/>
      <c r="AH37" s="334"/>
      <c r="AI37" s="334"/>
      <c r="AJ37" s="334"/>
      <c r="AK37" s="334"/>
      <c r="AL37" s="334"/>
      <c r="AM37" s="334"/>
      <c r="AN37" s="334"/>
      <c r="AO37" s="334"/>
      <c r="AP37" s="334"/>
      <c r="AQ37" s="334"/>
      <c r="AR37" s="334"/>
      <c r="AS37" s="286" t="s">
        <v>444</v>
      </c>
      <c r="AV37" s="376"/>
      <c r="AW37" s="376"/>
      <c r="AX37" s="376"/>
      <c r="AY37" s="376"/>
      <c r="AZ37" s="376"/>
      <c r="BA37" s="426">
        <v>1</v>
      </c>
    </row>
    <row customHeight="1" ht="14.699999999999998">
      <c r="Q38" s="299"/>
      <c r="R38" s="384"/>
      <c r="S38" s="1283"/>
      <c r="T38" s="371"/>
      <c r="U38" s="1252"/>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63">
        <v>14</v>
      </c>
    </row>
    <row customHeight="1" ht="14.699999999999998">
      <c r="Q39" s="299"/>
      <c r="R39" s="384"/>
      <c r="S39" s="2148" t="s">
        <v>317</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318</v>
      </c>
      <c r="BA39" s="1163">
        <v>14</v>
      </c>
    </row>
    <row customHeight="1" ht="14.699999999999998">
      <c r="Q40" s="299"/>
      <c r="R40" s="384"/>
      <c r="S40" s="2294" t="s">
        <v>88</v>
      </c>
      <c r="T40" s="2230" t="s">
        <v>490</v>
      </c>
      <c r="U40" s="309"/>
      <c r="V40" s="2296"/>
      <c r="W40" s="2296"/>
      <c r="X40" s="2296"/>
      <c r="Y40" s="2296"/>
      <c r="Z40" s="2297"/>
      <c r="AA40" s="2357" t="s">
        <v>447</v>
      </c>
      <c r="AB40" s="2349" t="s">
        <v>491</v>
      </c>
      <c r="AC40" s="2312"/>
      <c r="AD40" s="2312"/>
      <c r="AE40" s="2350"/>
      <c r="AF40" s="2312" t="s">
        <v>492</v>
      </c>
      <c r="AG40" s="2312"/>
      <c r="AH40" s="2312"/>
      <c r="AI40" s="2350"/>
      <c r="AJ40" s="2349" t="s">
        <v>493</v>
      </c>
      <c r="AK40" s="2312"/>
      <c r="AL40" s="2312"/>
      <c r="AM40" s="2350"/>
      <c r="AN40" s="2349" t="s">
        <v>446</v>
      </c>
      <c r="AO40" s="2312"/>
      <c r="AP40" s="2296"/>
      <c r="AQ40" s="2296"/>
      <c r="AR40" s="2297"/>
      <c r="AS40" s="2298" t="s">
        <v>447</v>
      </c>
      <c r="AT40" s="2301" t="s">
        <v>449</v>
      </c>
      <c r="AU40" s="2148"/>
      <c r="BA40" s="1163">
        <v>14</v>
      </c>
    </row>
    <row customHeight="1" ht="35.699999999999996">
      <c r="Q41" s="299"/>
      <c r="R41" s="384"/>
      <c r="S41" s="2294"/>
      <c r="T41" s="2230"/>
      <c r="U41" s="1039"/>
      <c r="V41" s="2148" t="s">
        <v>494</v>
      </c>
      <c r="W41" s="2148"/>
      <c r="X41" s="2315" t="s">
        <v>453</v>
      </c>
      <c r="Y41" s="2334"/>
      <c r="Z41" s="2335"/>
      <c r="AA41" s="2358"/>
      <c r="AB41" s="2351"/>
      <c r="AC41" s="2352"/>
      <c r="AD41" s="2352"/>
      <c r="AE41" s="2353"/>
      <c r="AF41" s="2352"/>
      <c r="AG41" s="2352"/>
      <c r="AH41" s="2352"/>
      <c r="AI41" s="2353"/>
      <c r="AJ41" s="2351"/>
      <c r="AK41" s="2352"/>
      <c r="AL41" s="2352"/>
      <c r="AM41" s="2352"/>
      <c r="AN41" s="2148" t="s">
        <v>494</v>
      </c>
      <c r="AO41" s="2148"/>
      <c r="AP41" s="2334" t="s">
        <v>453</v>
      </c>
      <c r="AQ41" s="2334"/>
      <c r="AR41" s="2335"/>
      <c r="AS41" s="2299"/>
      <c r="AT41" s="2302"/>
      <c r="AU41" s="2148"/>
      <c r="BA41" s="1163">
        <v>34</v>
      </c>
    </row>
    <row customHeight="1" ht="14.699999999999998">
      <c r="Q42" s="299"/>
      <c r="R42" s="384"/>
      <c r="S42" s="2294"/>
      <c r="T42" s="2230"/>
      <c r="U42" s="1039"/>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63">
        <v>14</v>
      </c>
    </row>
    <row customHeight="1" ht="14.699999999999998">
      <c r="A43" s="1378"/>
      <c r="B43" s="1378" t="s">
        <v>154</v>
      </c>
      <c r="C43" s="1378" t="s">
        <v>155</v>
      </c>
      <c r="D43" s="1378" t="s">
        <v>156</v>
      </c>
      <c r="E43" s="1372" t="s">
        <v>454</v>
      </c>
      <c r="F43" s="1372" t="s">
        <v>455</v>
      </c>
      <c r="G43" s="1372" t="s">
        <v>456</v>
      </c>
      <c r="H43" s="1372" t="s">
        <v>457</v>
      </c>
      <c r="I43" s="1372" t="s">
        <v>458</v>
      </c>
      <c r="J43" s="1372" t="s">
        <v>459</v>
      </c>
      <c r="K43" s="1372" t="s">
        <v>460</v>
      </c>
      <c r="L43" s="1372" t="s">
        <v>435</v>
      </c>
      <c r="Q43" s="299"/>
      <c r="R43" s="384"/>
      <c r="S43" s="2294"/>
      <c r="T43" s="2230"/>
      <c r="U43" s="310"/>
      <c r="V43" s="1338" t="s">
        <v>495</v>
      </c>
      <c r="W43" s="1338" t="s">
        <v>496</v>
      </c>
      <c r="X43" s="1346" t="s">
        <v>463</v>
      </c>
      <c r="Y43" s="2291" t="s">
        <v>464</v>
      </c>
      <c r="Z43" s="2292"/>
      <c r="AA43" s="2359"/>
      <c r="AB43" s="2354"/>
      <c r="AC43" s="2355"/>
      <c r="AD43" s="2355"/>
      <c r="AE43" s="2356"/>
      <c r="AF43" s="2355"/>
      <c r="AG43" s="2355"/>
      <c r="AH43" s="2355"/>
      <c r="AI43" s="2356"/>
      <c r="AJ43" s="2354"/>
      <c r="AK43" s="2355"/>
      <c r="AL43" s="2355"/>
      <c r="AM43" s="2356"/>
      <c r="AN43" s="1865" t="s">
        <v>495</v>
      </c>
      <c r="AO43" s="1865" t="s">
        <v>496</v>
      </c>
      <c r="AP43" s="1346" t="s">
        <v>463</v>
      </c>
      <c r="AQ43" s="2291" t="s">
        <v>464</v>
      </c>
      <c r="AR43" s="2292"/>
      <c r="AS43" s="2300"/>
      <c r="AT43" s="2303"/>
      <c r="AU43" s="2148"/>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118</v>
      </c>
      <c r="T44" s="1263" t="s">
        <v>102</v>
      </c>
      <c r="U44" s="1253" t="str">
        <f>OFFSET(U44,0,-1)</f>
        <v>2</v>
      </c>
      <c r="V44" s="1343">
        <f>OFFSET(V44,0,-1)+1</f>
        <v>3</v>
      </c>
      <c r="W44" s="1343">
        <f>OFFSET(W44,0,-1)+1</f>
        <v>4</v>
      </c>
      <c r="X44" s="1343">
        <f>OFFSET(X44,0,-1)+1</f>
        <v>5</v>
      </c>
      <c r="Y44" s="2293">
        <f>OFFSET(Y44,0,-1)+1</f>
        <v>6</v>
      </c>
      <c r="Z44" s="2293"/>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93">
        <f>OFFSET(AQ44,0,-1)+1</f>
        <v>4</v>
      </c>
      <c r="AR44" s="2293"/>
      <c r="AS44" s="1343">
        <f>OFFSET(AS44,0,-2)+1</f>
        <v>5</v>
      </c>
      <c r="AT44" s="1253">
        <f>OFFSET(AT44,0,-1)</f>
        <v>5</v>
      </c>
      <c r="AU44" s="1343">
        <f>OFFSET(AU44,0,-1)+1</f>
        <v>6</v>
      </c>
      <c r="AV44" s="519"/>
      <c r="AW44" s="519"/>
      <c r="AX44" s="519"/>
      <c r="AY44" s="519"/>
      <c r="AZ44" s="519"/>
      <c r="BA44" s="504">
        <v>0</v>
      </c>
    </row>
    <row customHeight="1" ht="107.25">
      <c r="A45" s="1371" t="s">
        <v>217</v>
      </c>
      <c r="B45" s="1371"/>
      <c r="C45" s="1371"/>
      <c r="D45" s="1371"/>
      <c r="E45" s="2279">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142</v>
      </c>
      <c r="U45" s="308"/>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217</v>
      </c>
      <c r="B46" s="1371" t="s">
        <v>218</v>
      </c>
      <c r="C46" s="1371"/>
      <c r="D46" s="1371"/>
      <c r="E46" s="2280"/>
      <c r="F46" s="2279">
        <v>1</v>
      </c>
      <c r="G46" s="1371"/>
      <c r="H46" s="1371"/>
      <c r="I46" s="1371"/>
      <c r="J46" s="1371"/>
      <c r="K46" s="1371"/>
      <c r="L46" s="1372"/>
      <c r="M46" s="1373"/>
      <c r="N46" s="1373"/>
      <c r="O46" s="1373"/>
      <c r="P46" s="1418"/>
      <c r="Q46" s="1419"/>
      <c r="R46" s="361"/>
      <c r="S46" s="1344" t="str">
        <f>INDEX(PT_DIFFERENTIATION_NUM_TER,MATCH(B46,PT_DIFFERENTIATION_TER_ID,0))</f>
        <v>.</v>
      </c>
      <c r="T46" s="316" t="s">
        <v>414</v>
      </c>
      <c r="U46" s="308"/>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6" t="s">
        <v>415</v>
      </c>
      <c r="AW46" s="508"/>
      <c r="AX46" s="508" t="str">
        <f>IF(T46="","",T46)</f>
        <v>Территория действия тарифа</v>
      </c>
      <c r="AY46" s="508"/>
      <c r="AZ46" s="508"/>
      <c r="BA46" s="1163">
        <v>21</v>
      </c>
    </row>
    <row customHeight="1" ht="24">
      <c r="A47" s="1371" t="s">
        <v>217</v>
      </c>
      <c r="B47" s="1371" t="s">
        <v>218</v>
      </c>
      <c r="C47" s="1371" t="s">
        <v>219</v>
      </c>
      <c r="D47" s="1371"/>
      <c r="E47" s="2280"/>
      <c r="F47" s="2280"/>
      <c r="G47" s="2279">
        <v>1</v>
      </c>
      <c r="H47" s="1371"/>
      <c r="I47" s="1371"/>
      <c r="J47" s="1371"/>
      <c r="K47" s="1371"/>
      <c r="L47" s="1372"/>
      <c r="M47" s="1373"/>
      <c r="N47" s="1373"/>
      <c r="O47" s="1373"/>
      <c r="P47" s="1420"/>
      <c r="Q47" s="1419"/>
      <c r="R47" s="361"/>
      <c r="S47" s="1344" t="str">
        <f>INDEX(PT_DIFFERENTIATION_NUM_CS,MATCH(C47,PT_DIFFERENTIATION_CS_ID,0))</f>
        <v>..</v>
      </c>
      <c r="T47" s="317" t="s">
        <v>416</v>
      </c>
      <c r="U47" s="308"/>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6" t="s">
        <v>417</v>
      </c>
      <c r="AW47" s="508"/>
      <c r="AX47" s="508" t="str">
        <f>IF(T47="","",T47)</f>
        <v>Наименование системы теплоснабжения </v>
      </c>
      <c r="AY47" s="508"/>
      <c r="AZ47" s="508"/>
      <c r="BA47" s="1163">
        <v>23</v>
      </c>
    </row>
    <row customHeight="1" ht="21">
      <c r="A48" s="1371" t="s">
        <v>217</v>
      </c>
      <c r="B48" s="1371" t="s">
        <v>218</v>
      </c>
      <c r="C48" s="1371" t="s">
        <v>219</v>
      </c>
      <c r="D48" s="1371" t="s">
        <v>220</v>
      </c>
      <c r="E48" s="2280"/>
      <c r="F48" s="2280"/>
      <c r="G48" s="2280"/>
      <c r="H48" s="2279">
        <v>1</v>
      </c>
      <c r="I48" s="1371"/>
      <c r="J48" s="1371"/>
      <c r="K48" s="1371"/>
      <c r="L48" s="1372"/>
      <c r="M48" s="1373"/>
      <c r="N48" s="1373"/>
      <c r="O48" s="1373"/>
      <c r="P48" s="1420"/>
      <c r="Q48" s="1419"/>
      <c r="R48" s="361"/>
      <c r="S48" s="1344" t="str">
        <f>INDEX(PT_DIFFERENTIATION_NUM_IST_TE,MATCH(D48,PT_DIFFERENTIATION_IST_TE_ID,0))</f>
        <v>...</v>
      </c>
      <c r="T48" s="318" t="s">
        <v>418</v>
      </c>
      <c r="U48" s="308"/>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6" t="s">
        <v>419</v>
      </c>
      <c r="AW48" s="508"/>
      <c r="AX48" s="508" t="str">
        <f>IF(T48="","",T48)</f>
        <v>Источник тепловой энергии  </v>
      </c>
      <c r="AY48" s="508"/>
      <c r="AZ48" s="508"/>
      <c r="BA48" s="1163">
        <v>20</v>
      </c>
    </row>
    <row s="1650" customFormat="1" customHeight="1" ht="1.05">
      <c r="A49" s="1351" t="s">
        <v>217</v>
      </c>
      <c r="B49" s="1351" t="s">
        <v>218</v>
      </c>
      <c r="C49" s="1351" t="s">
        <v>219</v>
      </c>
      <c r="D49" s="1351" t="s">
        <v>220</v>
      </c>
      <c r="E49" s="2280"/>
      <c r="F49" s="2280"/>
      <c r="G49" s="2280"/>
      <c r="H49" s="2280"/>
      <c r="I49" s="2277" t="str">
        <f>S48&amp;".1"</f>
        <v>....1</v>
      </c>
      <c r="J49" s="1351"/>
      <c r="K49" s="1351"/>
      <c r="L49" s="1354" t="s">
        <v>420</v>
      </c>
      <c r="M49" s="518"/>
      <c r="N49" s="518"/>
      <c r="O49" s="518"/>
      <c r="P49" s="2278">
        <v>1</v>
      </c>
      <c r="Q49" s="1339"/>
      <c r="R49" s="364"/>
      <c r="S49" s="1050"/>
      <c r="T49" s="1391"/>
      <c r="U49" s="1392"/>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93"/>
      <c r="AW49" s="508"/>
      <c r="AX49" s="508" t="str">
        <f>IF(T49="","",T49)</f>
        <v/>
      </c>
      <c r="AY49" s="508"/>
      <c r="AZ49" s="508"/>
      <c r="BA49" s="519">
        <v>1</v>
      </c>
    </row>
    <row s="1650" customFormat="1" customHeight="1" ht="1.05">
      <c r="A50" s="1351" t="s">
        <v>217</v>
      </c>
      <c r="B50" s="1351" t="s">
        <v>218</v>
      </c>
      <c r="C50" s="1351" t="s">
        <v>219</v>
      </c>
      <c r="D50" s="1351" t="s">
        <v>220</v>
      </c>
      <c r="E50" s="2280"/>
      <c r="F50" s="2280"/>
      <c r="G50" s="2280"/>
      <c r="H50" s="2280"/>
      <c r="I50" s="2307"/>
      <c r="J50" s="2277" t="str">
        <f>S48&amp;".1"</f>
        <v>....1</v>
      </c>
      <c r="K50" s="1351"/>
      <c r="L50" s="1354"/>
      <c r="M50" s="518"/>
      <c r="N50" s="518"/>
      <c r="O50" s="518"/>
      <c r="P50" s="2278"/>
      <c r="Q50" s="2278">
        <v>1</v>
      </c>
      <c r="R50" s="365"/>
      <c r="S50" s="1050"/>
      <c r="T50" s="1407"/>
      <c r="U50" s="1392"/>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93"/>
      <c r="AW50" s="508"/>
      <c r="AX50" s="508" t="str">
        <f>IF(T50="","",T50)</f>
        <v/>
      </c>
      <c r="AY50" s="508"/>
      <c r="AZ50" s="508"/>
      <c r="BA50" s="519">
        <v>1</v>
      </c>
    </row>
    <row customHeight="1" ht="22.049999999999997">
      <c r="A51" s="1371" t="s">
        <v>217</v>
      </c>
      <c r="B51" s="1371" t="s">
        <v>218</v>
      </c>
      <c r="C51" s="1371" t="s">
        <v>219</v>
      </c>
      <c r="D51" s="1371" t="s">
        <v>220</v>
      </c>
      <c r="E51" s="2280"/>
      <c r="F51" s="2280"/>
      <c r="G51" s="2280"/>
      <c r="H51" s="2280"/>
      <c r="I51" s="2307"/>
      <c r="J51" s="2307"/>
      <c r="K51" s="2277" t="str">
        <f>S48&amp;".1"</f>
        <v>....1</v>
      </c>
      <c r="L51" s="1372"/>
      <c r="P51" s="2278"/>
      <c r="Q51" s="2278"/>
      <c r="R51" s="365">
        <v>1</v>
      </c>
      <c r="S51" s="2362" t="str">
        <f>$K51</f>
        <v>....1</v>
      </c>
      <c r="T51" s="2365"/>
      <c r="U51" s="308"/>
      <c r="V51" s="759"/>
      <c r="W51" s="1265"/>
      <c r="X51" s="1741"/>
      <c r="Y51" s="1467" t="s">
        <v>61</v>
      </c>
      <c r="Z51" s="1741"/>
      <c r="AA51" s="1467" t="s">
        <v>61</v>
      </c>
      <c r="AB51" s="2128" t="s">
        <v>19</v>
      </c>
      <c r="AC51" s="2347"/>
      <c r="AD51" s="2226">
        <v>1</v>
      </c>
      <c r="AE51" s="2369" t="s">
        <v>22</v>
      </c>
      <c r="AF51" s="2128" t="s">
        <v>19</v>
      </c>
      <c r="AG51" s="2347"/>
      <c r="AH51" s="2226">
        <v>1</v>
      </c>
      <c r="AI51" s="2369" t="s">
        <v>22</v>
      </c>
      <c r="AJ51" s="2128" t="s">
        <v>19</v>
      </c>
      <c r="AK51" s="319"/>
      <c r="AL51" s="1345">
        <v>1</v>
      </c>
      <c r="AM51" s="1410"/>
      <c r="AN51" s="759"/>
      <c r="AO51" s="1265"/>
      <c r="AP51" s="1741"/>
      <c r="AQ51" s="1467" t="s">
        <v>61</v>
      </c>
      <c r="AR51" s="1741"/>
      <c r="AS51" s="1467" t="s">
        <v>61</v>
      </c>
      <c r="AT51" s="1356"/>
      <c r="AU51" s="2274" t="s">
        <v>497</v>
      </c>
      <c r="AV51" s="519">
        <f>STRCHECKDATE(V54:AT54)</f>
      </c>
      <c r="AW51" s="508"/>
      <c r="AX51" s="508" t="str">
        <f>IF(T51="","",T51)</f>
        <v/>
      </c>
      <c r="AY51" s="508"/>
      <c r="AZ51" s="508"/>
      <c r="BA51" s="1163">
        <v>21</v>
      </c>
    </row>
    <row customHeight="1" ht="11.549999999999999">
      <c r="A52" s="1371" t="s">
        <v>217</v>
      </c>
      <c r="B52" s="1371"/>
      <c r="C52" s="1371"/>
      <c r="D52" s="1371"/>
      <c r="E52" s="2280"/>
      <c r="F52" s="2280"/>
      <c r="G52" s="2280"/>
      <c r="H52" s="2280"/>
      <c r="I52" s="2307"/>
      <c r="J52" s="2307"/>
      <c r="K52" s="2277"/>
      <c r="L52" s="1372"/>
      <c r="P52" s="2278"/>
      <c r="Q52" s="2278"/>
      <c r="R52" s="365"/>
      <c r="S52" s="2363"/>
      <c r="T52" s="2366"/>
      <c r="U52" s="308"/>
      <c r="V52" s="1401"/>
      <c r="W52" s="1504"/>
      <c r="X52" s="1401"/>
      <c r="Y52" s="1401"/>
      <c r="Z52" s="1401"/>
      <c r="AA52" s="1401"/>
      <c r="AB52" s="2128"/>
      <c r="AC52" s="2347"/>
      <c r="AD52" s="2226"/>
      <c r="AE52" s="2369"/>
      <c r="AF52" s="2128"/>
      <c r="AG52" s="2347"/>
      <c r="AH52" s="2226"/>
      <c r="AI52" s="2369"/>
      <c r="AJ52" s="2128"/>
      <c r="AK52" s="324"/>
      <c r="AL52" s="424"/>
      <c r="AM52" s="423" t="s">
        <v>482</v>
      </c>
      <c r="AN52" s="1401"/>
      <c r="AO52" s="1504"/>
      <c r="AP52" s="1401"/>
      <c r="AQ52" s="1401"/>
      <c r="AR52" s="1401"/>
      <c r="AS52" s="1401"/>
      <c r="AT52" s="1398"/>
      <c r="AU52" s="2275"/>
      <c r="AW52" s="508"/>
      <c r="AX52" s="508"/>
      <c r="AY52" s="508"/>
      <c r="AZ52" s="508"/>
      <c r="BA52" s="1163">
        <v>11</v>
      </c>
    </row>
    <row customHeight="1" ht="11.549999999999999">
      <c r="A53" s="1371" t="s">
        <v>217</v>
      </c>
      <c r="B53" s="1371"/>
      <c r="C53" s="1371"/>
      <c r="D53" s="1371"/>
      <c r="E53" s="2280"/>
      <c r="F53" s="2280"/>
      <c r="G53" s="2280"/>
      <c r="H53" s="2280"/>
      <c r="I53" s="2307"/>
      <c r="J53" s="2307"/>
      <c r="K53" s="2277"/>
      <c r="L53" s="1372"/>
      <c r="P53" s="2278"/>
      <c r="Q53" s="2278"/>
      <c r="R53" s="365"/>
      <c r="S53" s="2363"/>
      <c r="T53" s="2366"/>
      <c r="U53" s="308"/>
      <c r="V53" s="1401"/>
      <c r="W53" s="1504"/>
      <c r="X53" s="1401"/>
      <c r="Y53" s="1401"/>
      <c r="Z53" s="1401"/>
      <c r="AA53" s="1401"/>
      <c r="AB53" s="2128"/>
      <c r="AC53" s="2347"/>
      <c r="AD53" s="2226"/>
      <c r="AE53" s="2369"/>
      <c r="AF53" s="2128"/>
      <c r="AG53" s="302"/>
      <c r="AH53" s="423"/>
      <c r="AI53" s="423" t="s">
        <v>483</v>
      </c>
      <c r="AJ53" s="1401"/>
      <c r="AK53" s="1401"/>
      <c r="AL53" s="1401"/>
      <c r="AM53" s="1401"/>
      <c r="AN53" s="1401"/>
      <c r="AO53" s="1504"/>
      <c r="AP53" s="1401"/>
      <c r="AQ53" s="1401"/>
      <c r="AR53" s="1401"/>
      <c r="AS53" s="1401"/>
      <c r="AT53" s="1398"/>
      <c r="AU53" s="2275"/>
      <c r="AW53" s="508"/>
      <c r="AX53" s="508"/>
      <c r="AY53" s="508"/>
      <c r="AZ53" s="508"/>
      <c r="BA53" s="1163">
        <v>11</v>
      </c>
    </row>
    <row customHeight="1" ht="11.549999999999999">
      <c r="A54" s="1371" t="s">
        <v>217</v>
      </c>
      <c r="B54" s="1371" t="s">
        <v>218</v>
      </c>
      <c r="C54" s="1371" t="s">
        <v>219</v>
      </c>
      <c r="D54" s="1371" t="s">
        <v>220</v>
      </c>
      <c r="E54" s="2280"/>
      <c r="F54" s="2280"/>
      <c r="G54" s="2280"/>
      <c r="H54" s="2280"/>
      <c r="I54" s="2307"/>
      <c r="J54" s="2307"/>
      <c r="K54" s="2277"/>
      <c r="L54" s="1372"/>
      <c r="P54" s="2278"/>
      <c r="Q54" s="2278"/>
      <c r="R54" s="365"/>
      <c r="S54" s="2364"/>
      <c r="T54" s="2367"/>
      <c r="U54" s="308"/>
      <c r="V54" s="1401"/>
      <c r="W54" s="1402" t="str">
        <f>X51&amp;"-"&amp;Z51</f>
        <v>-</v>
      </c>
      <c r="X54" s="1401"/>
      <c r="Y54" s="1401"/>
      <c r="Z54" s="1401"/>
      <c r="AA54" s="1401"/>
      <c r="AB54" s="2128"/>
      <c r="AC54" s="320"/>
      <c r="AD54" s="322"/>
      <c r="AE54" s="423" t="s">
        <v>484</v>
      </c>
      <c r="AF54" s="1401"/>
      <c r="AG54" s="1401"/>
      <c r="AH54" s="1401"/>
      <c r="AI54" s="1401"/>
      <c r="AJ54" s="1401"/>
      <c r="AK54" s="1401"/>
      <c r="AL54" s="1401"/>
      <c r="AM54" s="1401"/>
      <c r="AN54" s="1401"/>
      <c r="AO54" s="1402" t="str">
        <f>AP51&amp;"-"&amp;AR51</f>
        <v>-</v>
      </c>
      <c r="AP54" s="1401"/>
      <c r="AQ54" s="1401"/>
      <c r="AR54" s="1401"/>
      <c r="AS54" s="1401"/>
      <c r="AT54" s="1357"/>
      <c r="AU54" s="2275"/>
      <c r="AW54" s="508"/>
      <c r="AX54" s="508" t="str">
        <f>IF(T54="","",T54)</f>
        <v/>
      </c>
      <c r="AY54" s="508"/>
      <c r="AZ54" s="508"/>
      <c r="BA54" s="1163">
        <v>11</v>
      </c>
    </row>
    <row customHeight="1" ht="11.549999999999999">
      <c r="A55" s="1371" t="s">
        <v>217</v>
      </c>
      <c r="B55" s="1371" t="s">
        <v>218</v>
      </c>
      <c r="C55" s="1371" t="s">
        <v>219</v>
      </c>
      <c r="D55" s="1371" t="s">
        <v>220</v>
      </c>
      <c r="E55" s="2280"/>
      <c r="F55" s="2280"/>
      <c r="G55" s="2280"/>
      <c r="H55" s="2280"/>
      <c r="I55" s="2307"/>
      <c r="J55" s="2277"/>
      <c r="K55" s="1371"/>
      <c r="L55" s="1372"/>
      <c r="P55" s="2278"/>
      <c r="Q55" s="2278"/>
      <c r="R55" s="364"/>
      <c r="S55" s="1286"/>
      <c r="T55" s="295" t="s">
        <v>485</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76"/>
      <c r="AW55" s="508"/>
      <c r="AX55" s="508" t="str">
        <f>IF(T55="","",T55)</f>
        <v>Добавить строку</v>
      </c>
      <c r="AY55" s="508"/>
      <c r="AZ55" s="508"/>
      <c r="BA55" s="1163">
        <v>11</v>
      </c>
    </row>
    <row s="1650" customFormat="1" customHeight="1" ht="1.05">
      <c r="A56" s="1351" t="s">
        <v>217</v>
      </c>
      <c r="B56" s="1351" t="s">
        <v>218</v>
      </c>
      <c r="C56" s="1351" t="s">
        <v>219</v>
      </c>
      <c r="D56" s="1351" t="s">
        <v>220</v>
      </c>
      <c r="E56" s="2280"/>
      <c r="F56" s="2280"/>
      <c r="G56" s="2280"/>
      <c r="H56" s="2280"/>
      <c r="I56" s="2277"/>
      <c r="J56" s="1351"/>
      <c r="K56" s="1351"/>
      <c r="L56" s="1354"/>
      <c r="M56" s="518"/>
      <c r="N56" s="518"/>
      <c r="O56" s="518"/>
      <c r="P56" s="2278"/>
      <c r="Q56" s="1339"/>
      <c r="R56" s="364"/>
      <c r="S56" s="1394"/>
      <c r="T56" s="1395" t="s">
        <v>429</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217</v>
      </c>
      <c r="B57" s="1351" t="s">
        <v>218</v>
      </c>
      <c r="C57" s="1351" t="s">
        <v>219</v>
      </c>
      <c r="D57" s="1351" t="s">
        <v>220</v>
      </c>
      <c r="E57" s="2280"/>
      <c r="F57" s="2280"/>
      <c r="G57" s="2280"/>
      <c r="H57" s="2279"/>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217</v>
      </c>
      <c r="B58" s="1351" t="s">
        <v>218</v>
      </c>
      <c r="C58" s="1351" t="s">
        <v>219</v>
      </c>
      <c r="D58" s="1322"/>
      <c r="E58" s="2280"/>
      <c r="F58" s="2280"/>
      <c r="G58" s="2279"/>
      <c r="H58" s="1322"/>
      <c r="I58" s="1322"/>
      <c r="J58" s="1322"/>
      <c r="K58" s="1322"/>
      <c r="L58" s="1347"/>
      <c r="M58" s="1323"/>
      <c r="N58" s="1323"/>
      <c r="P58" s="1324"/>
      <c r="Q58" s="1325"/>
      <c r="R58" s="1324"/>
      <c r="S58" s="1330"/>
      <c r="T58" s="1333" t="s">
        <v>431</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217</v>
      </c>
      <c r="B59" s="1351" t="s">
        <v>218</v>
      </c>
      <c r="C59" s="1322"/>
      <c r="D59" s="1322"/>
      <c r="E59" s="2280"/>
      <c r="F59" s="2279"/>
      <c r="G59" s="1322"/>
      <c r="H59" s="1322"/>
      <c r="I59" s="1322"/>
      <c r="J59" s="1322"/>
      <c r="K59" s="1322"/>
      <c r="L59" s="1347"/>
      <c r="M59" s="1329"/>
      <c r="N59" s="1329"/>
      <c r="P59" s="1324"/>
      <c r="Q59" s="1325"/>
      <c r="R59" s="1324"/>
      <c r="S59" s="1330"/>
      <c r="T59" s="1333" t="s">
        <v>432</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217</v>
      </c>
      <c r="B60" s="1351"/>
      <c r="C60" s="1351"/>
      <c r="D60" s="1351"/>
      <c r="E60" s="2280"/>
      <c r="F60" s="1351"/>
      <c r="G60" s="1351"/>
      <c r="H60" s="1351"/>
      <c r="I60" s="1351"/>
      <c r="J60" s="1351"/>
      <c r="K60" s="1351"/>
      <c r="L60" s="1354"/>
      <c r="M60" s="1329"/>
      <c r="N60" s="1329"/>
      <c r="O60" s="526"/>
      <c r="P60" s="388"/>
      <c r="Q60" s="1352"/>
      <c r="R60" s="388"/>
      <c r="S60" s="1330"/>
      <c r="T60" s="1333" t="s">
        <v>433</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217</v>
      </c>
      <c r="B61" s="1351"/>
      <c r="C61" s="1351"/>
      <c r="D61" s="1351"/>
      <c r="E61" s="2279"/>
      <c r="F61" s="1351"/>
      <c r="G61" s="1351"/>
      <c r="H61" s="1351"/>
      <c r="I61" s="1351"/>
      <c r="J61" s="1351"/>
      <c r="K61" s="1351"/>
      <c r="L61" s="1354"/>
      <c r="M61" s="1329"/>
      <c r="N61" s="1329"/>
      <c r="O61" s="526"/>
      <c r="P61" s="388"/>
      <c r="Q61" s="1352"/>
      <c r="R61" s="388"/>
      <c r="S61" s="1330"/>
      <c r="T61" s="1333" t="s">
        <v>433</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465</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63">
        <v>19</v>
      </c>
    </row>
    <row customHeight="1" ht="21">
      <c r="O65" s="54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63">
        <v>19</v>
      </c>
    </row>
    <row customHeight="1" ht="16.8">
      <c r="O68" s="545"/>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0CBB2-7D65-A273-EB2E-FA5C655206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33">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31"/>
      <c r="Q3" s="360"/>
      <c r="R3" s="361"/>
      <c r="S3" s="1433">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33">
        <f>INDEX(PT_DIFFERENTIATION_NUM_CS,MATCH(C4,PT_DIFFERENTIATION_CS_ID,0))</f>
      </c>
      <c r="T4" s="317" t="s">
        <v>498</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499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30"/>
      <c r="R5" s="364"/>
      <c r="S5" s="1433">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433">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33">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32"/>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30"/>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34"/>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29"/>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360" t="s">
        <v>506</v>
      </c>
      <c r="W38" s="2283" t="s">
        <v>452</v>
      </c>
      <c r="X38" s="2284"/>
      <c r="Y38" s="2283" t="s">
        <v>453</v>
      </c>
      <c r="Z38" s="2290"/>
      <c r="AA38" s="2284"/>
      <c r="AB38" s="2299"/>
      <c r="AC38" s="1360" t="s">
        <v>506</v>
      </c>
      <c r="AD38" s="2283" t="s">
        <v>452</v>
      </c>
      <c r="AE38" s="2284"/>
      <c r="AF38" s="2283" t="s">
        <v>453</v>
      </c>
      <c r="AG38" s="2290"/>
      <c r="AH38" s="2284"/>
      <c r="AI38" s="2299"/>
      <c r="AJ38" s="2302"/>
      <c r="AK38" s="2148"/>
      <c r="AQ38" s="1163">
        <v>34</v>
      </c>
    </row>
    <row customHeight="1" ht="35.699999999999996">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360" t="s">
        <v>509</v>
      </c>
      <c r="W39" s="1230" t="s">
        <v>510</v>
      </c>
      <c r="X39" s="1230" t="s">
        <v>511</v>
      </c>
      <c r="Y39" s="1365" t="s">
        <v>463</v>
      </c>
      <c r="Z39" s="2291" t="s">
        <v>464</v>
      </c>
      <c r="AA39" s="2292"/>
      <c r="AB39" s="2300"/>
      <c r="AC39" s="1360" t="s">
        <v>509</v>
      </c>
      <c r="AD39" s="1230" t="s">
        <v>510</v>
      </c>
      <c r="AE39" s="1230" t="s">
        <v>511</v>
      </c>
      <c r="AF39" s="1365" t="s">
        <v>463</v>
      </c>
      <c r="AG39" s="2291" t="s">
        <v>464</v>
      </c>
      <c r="AH39" s="2292"/>
      <c r="AI39" s="2300"/>
      <c r="AJ39" s="2303"/>
      <c r="AK39" s="2148"/>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361">
        <f>OFFSET(V40,0,-1)+1</f>
        <v>3</v>
      </c>
      <c r="W40" s="1361">
        <f>OFFSET(W40,0,-1)+1</f>
        <v>4</v>
      </c>
      <c r="X40" s="1361">
        <f>OFFSET(X40,0,-1)+1</f>
        <v>5</v>
      </c>
      <c r="Y40" s="1361">
        <f>OFFSET(Y40,0,-1)+1</f>
        <v>6</v>
      </c>
      <c r="Z40" s="2293">
        <f>OFFSET(Z40,0,-1)+1</f>
        <v>7</v>
      </c>
      <c r="AA40" s="2293"/>
      <c r="AB40" s="1361">
        <f>OFFSET(AB40,0,-2)+1</f>
        <v>8</v>
      </c>
      <c r="AC40" s="1361">
        <f>OFFSET(AC40,0,-1)+1</f>
        <v>9</v>
      </c>
      <c r="AD40" s="1361">
        <f>OFFSET(AD40,0,-1)+1</f>
        <v>10</v>
      </c>
      <c r="AE40" s="1361">
        <f>OFFSET(AE40,0,-1)+1</f>
        <v>11</v>
      </c>
      <c r="AF40" s="1361">
        <f>OFFSET(AF40,0,-1)+1</f>
        <v>12</v>
      </c>
      <c r="AG40" s="2293">
        <f>OFFSET(AG40,0,-1)+1</f>
        <v>13</v>
      </c>
      <c r="AH40" s="2293"/>
      <c r="AI40" s="1361">
        <f>OFFSET(AI40,0,-2)+1</f>
        <v>14</v>
      </c>
      <c r="AJ40" s="1253">
        <f>OFFSET(AJ40,0,-1)</f>
        <v>14</v>
      </c>
      <c r="AK40" s="1361">
        <f>OFFSET(AK40,0,-1)+1</f>
        <v>15</v>
      </c>
      <c r="AL40" s="519"/>
      <c r="AM40" s="519"/>
      <c r="AN40" s="519"/>
      <c r="AO40" s="519"/>
      <c r="AP40" s="519"/>
      <c r="AQ40" s="504">
        <v>0</v>
      </c>
    </row>
    <row customHeight="1" ht="24">
      <c r="A41" s="1371" t="s">
        <v>243</v>
      </c>
      <c r="B41" s="1371"/>
      <c r="C41" s="1371"/>
      <c r="D41" s="1371"/>
      <c r="E41" s="2279">
        <v>1</v>
      </c>
      <c r="F41" s="1371"/>
      <c r="G41" s="1371"/>
      <c r="H41" s="1371"/>
      <c r="I41" s="1371"/>
      <c r="J41" s="1371"/>
      <c r="K41" s="1371"/>
      <c r="L41" s="1372"/>
      <c r="M41" s="1373"/>
      <c r="N41" s="1373"/>
      <c r="O41" s="1373"/>
      <c r="P41" s="369"/>
      <c r="Q41" s="368"/>
      <c r="R41" s="363"/>
      <c r="S41" s="1366">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243</v>
      </c>
      <c r="B42" s="1371" t="s">
        <v>244</v>
      </c>
      <c r="C42" s="1371"/>
      <c r="D42" s="1371"/>
      <c r="E42" s="2280"/>
      <c r="F42" s="2279">
        <v>1</v>
      </c>
      <c r="G42" s="1371"/>
      <c r="H42" s="1371"/>
      <c r="I42" s="1371"/>
      <c r="J42" s="1371"/>
      <c r="K42" s="1371"/>
      <c r="L42" s="1372"/>
      <c r="M42" s="1373"/>
      <c r="N42" s="1373"/>
      <c r="O42" s="1373"/>
      <c r="P42" s="1364"/>
      <c r="Q42" s="360"/>
      <c r="R42" s="361"/>
      <c r="S42" s="1366"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243</v>
      </c>
      <c r="B43" s="1371" t="s">
        <v>244</v>
      </c>
      <c r="C43" s="1371" t="s">
        <v>245</v>
      </c>
      <c r="D43" s="1371"/>
      <c r="E43" s="2280"/>
      <c r="F43" s="2280"/>
      <c r="G43" s="2279">
        <v>1</v>
      </c>
      <c r="H43" s="1371"/>
      <c r="I43" s="1371"/>
      <c r="J43" s="1371"/>
      <c r="K43" s="1371"/>
      <c r="L43" s="1372"/>
      <c r="M43" s="1373"/>
      <c r="N43" s="1373"/>
      <c r="O43" s="1373"/>
      <c r="P43" s="362"/>
      <c r="Q43" s="360"/>
      <c r="R43" s="361"/>
      <c r="S43" s="1366" t="str">
        <f>INDEX(PT_DIFFERENTIATION_NUM_CS,MATCH(C43,PT_DIFFERENTIATION_CS_ID,0))</f>
        <v>..</v>
      </c>
      <c r="T43" s="317" t="s">
        <v>498</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499</v>
      </c>
      <c r="AM43" s="508"/>
      <c r="AN43" s="508" t="str">
        <f>IF(T43="","",T43)</f>
        <v>Наименование централизованной системы холодного водоснабжения</v>
      </c>
      <c r="AO43" s="508"/>
      <c r="AP43" s="508"/>
      <c r="AQ43" s="1163">
        <v>23</v>
      </c>
    </row>
    <row customHeight="1" ht="24">
      <c r="A44" s="1371" t="s">
        <v>243</v>
      </c>
      <c r="B44" s="1371" t="s">
        <v>244</v>
      </c>
      <c r="C44" s="1371" t="s">
        <v>245</v>
      </c>
      <c r="D44" s="1371" t="s">
        <v>512</v>
      </c>
      <c r="E44" s="2280"/>
      <c r="F44" s="2280"/>
      <c r="G44" s="2280"/>
      <c r="H44" s="2280"/>
      <c r="I44" s="2277" t="str">
        <f>S43&amp;".1"</f>
        <v>...1</v>
      </c>
      <c r="J44" s="1371"/>
      <c r="K44" s="1371"/>
      <c r="L44" s="1372"/>
      <c r="P44" s="2278">
        <v>1</v>
      </c>
      <c r="Q44" s="1362"/>
      <c r="R44" s="364"/>
      <c r="S44" s="1366"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243</v>
      </c>
      <c r="B45" s="1371" t="s">
        <v>244</v>
      </c>
      <c r="C45" s="1371" t="s">
        <v>245</v>
      </c>
      <c r="D45" s="1371" t="s">
        <v>512</v>
      </c>
      <c r="E45" s="2280"/>
      <c r="F45" s="2280"/>
      <c r="G45" s="2280"/>
      <c r="H45" s="2280"/>
      <c r="I45" s="2307"/>
      <c r="J45" s="2277" t="str">
        <f>I44&amp;".1"</f>
        <v>...1.1</v>
      </c>
      <c r="K45" s="1371"/>
      <c r="L45" s="1372" t="s">
        <v>423</v>
      </c>
      <c r="P45" s="2278"/>
      <c r="Q45" s="2278">
        <v>1</v>
      </c>
      <c r="R45" s="365"/>
      <c r="S45" s="1366"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243</v>
      </c>
      <c r="B46" s="1371" t="s">
        <v>244</v>
      </c>
      <c r="C46" s="1371" t="s">
        <v>245</v>
      </c>
      <c r="D46" s="1371" t="s">
        <v>512</v>
      </c>
      <c r="E46" s="2280"/>
      <c r="F46" s="2280"/>
      <c r="G46" s="2280"/>
      <c r="H46" s="2280"/>
      <c r="I46" s="2307"/>
      <c r="J46" s="2307"/>
      <c r="K46" s="2277" t="str">
        <f>J45&amp;".1"</f>
        <v>...1.1.1</v>
      </c>
      <c r="L46" s="1372"/>
      <c r="P46" s="2278"/>
      <c r="Q46" s="2278"/>
      <c r="R46" s="365">
        <v>1</v>
      </c>
      <c r="S46" s="1366"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243</v>
      </c>
      <c r="B47" s="1371" t="s">
        <v>244</v>
      </c>
      <c r="C47" s="1371" t="s">
        <v>245</v>
      </c>
      <c r="D47" s="1371" t="s">
        <v>512</v>
      </c>
      <c r="E47" s="2280"/>
      <c r="F47" s="2280"/>
      <c r="G47" s="2280"/>
      <c r="H47" s="2280"/>
      <c r="I47" s="2307"/>
      <c r="J47" s="2307"/>
      <c r="K47" s="2277"/>
      <c r="L47" s="1372"/>
      <c r="P47" s="2278"/>
      <c r="Q47" s="2278"/>
      <c r="R47" s="365"/>
      <c r="S47" s="1367"/>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243</v>
      </c>
      <c r="B48" s="1371" t="s">
        <v>244</v>
      </c>
      <c r="C48" s="1371" t="s">
        <v>245</v>
      </c>
      <c r="D48" s="1371" t="s">
        <v>512</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243</v>
      </c>
      <c r="B49" s="1371" t="s">
        <v>244</v>
      </c>
      <c r="C49" s="1371" t="s">
        <v>245</v>
      </c>
      <c r="D49" s="1371" t="s">
        <v>512</v>
      </c>
      <c r="E49" s="2280"/>
      <c r="F49" s="2280"/>
      <c r="G49" s="2280"/>
      <c r="H49" s="2280"/>
      <c r="I49" s="2277"/>
      <c r="J49" s="1371"/>
      <c r="K49" s="1371"/>
      <c r="L49" s="1372"/>
      <c r="P49" s="2278"/>
      <c r="Q49" s="1362"/>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243</v>
      </c>
      <c r="B50" s="1371" t="s">
        <v>244</v>
      </c>
      <c r="C50" s="1371" t="s">
        <v>245</v>
      </c>
      <c r="D50" s="1371" t="s">
        <v>512</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243</v>
      </c>
      <c r="B51" s="1351" t="s">
        <v>244</v>
      </c>
      <c r="C51" s="1322"/>
      <c r="D51" s="1322"/>
      <c r="E51" s="2280"/>
      <c r="F51" s="2279"/>
      <c r="G51" s="1322"/>
      <c r="H51" s="1322"/>
      <c r="I51" s="1322"/>
      <c r="J51" s="1322"/>
      <c r="K51" s="1322"/>
      <c r="L51" s="1434"/>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243</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76D78-9D3C-5BCF-E1B3-1C7DF8A778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498</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499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465">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460" t="s">
        <v>506</v>
      </c>
      <c r="W38" s="2283" t="s">
        <v>452</v>
      </c>
      <c r="X38" s="2284"/>
      <c r="Y38" s="2283" t="s">
        <v>453</v>
      </c>
      <c r="Z38" s="2290"/>
      <c r="AA38" s="2284"/>
      <c r="AB38" s="2299"/>
      <c r="AC38" s="1460" t="s">
        <v>506</v>
      </c>
      <c r="AD38" s="2283" t="s">
        <v>452</v>
      </c>
      <c r="AE38" s="2284"/>
      <c r="AF38" s="2283" t="s">
        <v>453</v>
      </c>
      <c r="AG38" s="2290"/>
      <c r="AH38" s="2284"/>
      <c r="AI38" s="2299"/>
      <c r="AJ38" s="2302"/>
      <c r="AK38" s="2148"/>
      <c r="AQ38" s="1163">
        <v>34</v>
      </c>
    </row>
    <row customHeight="1" ht="35.699999999999996">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460" t="s">
        <v>509</v>
      </c>
      <c r="W39" s="1230" t="s">
        <v>510</v>
      </c>
      <c r="X39" s="1230" t="s">
        <v>511</v>
      </c>
      <c r="Y39" s="1463" t="s">
        <v>463</v>
      </c>
      <c r="Z39" s="2291" t="s">
        <v>464</v>
      </c>
      <c r="AA39" s="2292"/>
      <c r="AB39" s="2300"/>
      <c r="AC39" s="1460" t="s">
        <v>509</v>
      </c>
      <c r="AD39" s="1230" t="s">
        <v>510</v>
      </c>
      <c r="AE39" s="1230" t="s">
        <v>511</v>
      </c>
      <c r="AF39" s="1463" t="s">
        <v>463</v>
      </c>
      <c r="AG39" s="2291" t="s">
        <v>464</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248</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248</v>
      </c>
      <c r="B42" s="1371" t="s">
        <v>249</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248</v>
      </c>
      <c r="B43" s="1371" t="s">
        <v>249</v>
      </c>
      <c r="C43" s="1371" t="s">
        <v>250</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498</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499</v>
      </c>
      <c r="AM43" s="508"/>
      <c r="AN43" s="508" t="str">
        <f>IF(T43="","",T43)</f>
        <v>Наименование централизованной системы холодного водоснабжения</v>
      </c>
      <c r="AO43" s="508"/>
      <c r="AP43" s="508"/>
      <c r="AQ43" s="1163">
        <v>23</v>
      </c>
    </row>
    <row customHeight="1" ht="24">
      <c r="A44" s="1371" t="s">
        <v>248</v>
      </c>
      <c r="B44" s="1371" t="s">
        <v>249</v>
      </c>
      <c r="C44" s="1371" t="s">
        <v>250</v>
      </c>
      <c r="D44" s="1371" t="s">
        <v>513</v>
      </c>
      <c r="E44" s="2280"/>
      <c r="F44" s="2280"/>
      <c r="G44" s="2280"/>
      <c r="H44" s="2280"/>
      <c r="I44" s="2277" t="str">
        <f>S43&amp;".1"</f>
        <v>...1</v>
      </c>
      <c r="J44" s="1371"/>
      <c r="K44" s="1371"/>
      <c r="L44" s="1372"/>
      <c r="P44" s="2278">
        <v>1</v>
      </c>
      <c r="Q44" s="1458"/>
      <c r="R44" s="364"/>
      <c r="S44" s="1465"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248</v>
      </c>
      <c r="B45" s="1371" t="s">
        <v>249</v>
      </c>
      <c r="C45" s="1371" t="s">
        <v>250</v>
      </c>
      <c r="D45" s="1371" t="s">
        <v>513</v>
      </c>
      <c r="E45" s="2280"/>
      <c r="F45" s="2280"/>
      <c r="G45" s="2280"/>
      <c r="H45" s="2280"/>
      <c r="I45" s="2307"/>
      <c r="J45" s="2277" t="str">
        <f>I44&amp;".1"</f>
        <v>...1.1</v>
      </c>
      <c r="K45" s="1371"/>
      <c r="L45" s="1372" t="s">
        <v>423</v>
      </c>
      <c r="P45" s="2278"/>
      <c r="Q45" s="2278">
        <v>1</v>
      </c>
      <c r="R45" s="365"/>
      <c r="S45" s="1465"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248</v>
      </c>
      <c r="B46" s="1371" t="s">
        <v>249</v>
      </c>
      <c r="C46" s="1371" t="s">
        <v>250</v>
      </c>
      <c r="D46" s="1371" t="s">
        <v>513</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248</v>
      </c>
      <c r="B47" s="1371" t="s">
        <v>249</v>
      </c>
      <c r="C47" s="1371" t="s">
        <v>250</v>
      </c>
      <c r="D47" s="1371" t="s">
        <v>513</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248</v>
      </c>
      <c r="B48" s="1371" t="s">
        <v>249</v>
      </c>
      <c r="C48" s="1371" t="s">
        <v>250</v>
      </c>
      <c r="D48" s="1371" t="s">
        <v>513</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248</v>
      </c>
      <c r="B49" s="1371" t="s">
        <v>249</v>
      </c>
      <c r="C49" s="1371" t="s">
        <v>250</v>
      </c>
      <c r="D49" s="1371" t="s">
        <v>513</v>
      </c>
      <c r="E49" s="2280"/>
      <c r="F49" s="2280"/>
      <c r="G49" s="2280"/>
      <c r="H49" s="2280"/>
      <c r="I49" s="2277"/>
      <c r="J49" s="1371"/>
      <c r="K49" s="1371"/>
      <c r="L49" s="1372"/>
      <c r="P49" s="2278"/>
      <c r="Q49" s="1458"/>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248</v>
      </c>
      <c r="B50" s="1371" t="s">
        <v>249</v>
      </c>
      <c r="C50" s="1371" t="s">
        <v>250</v>
      </c>
      <c r="D50" s="1371" t="s">
        <v>513</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248</v>
      </c>
      <c r="B51" s="1351" t="s">
        <v>249</v>
      </c>
      <c r="C51" s="1322"/>
      <c r="D51" s="1322"/>
      <c r="E51" s="2280"/>
      <c r="F51" s="2279"/>
      <c r="G51" s="1322"/>
      <c r="H51" s="1322"/>
      <c r="I51" s="1322"/>
      <c r="J51" s="1322"/>
      <c r="K51" s="1322"/>
      <c r="L51" s="1466"/>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248</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0B4F8-54EF-87B9-089B-656EDF2B3F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498</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499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465">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460" t="s">
        <v>506</v>
      </c>
      <c r="W38" s="2283" t="s">
        <v>452</v>
      </c>
      <c r="X38" s="2284"/>
      <c r="Y38" s="2283" t="s">
        <v>453</v>
      </c>
      <c r="Z38" s="2290"/>
      <c r="AA38" s="2284"/>
      <c r="AB38" s="2299"/>
      <c r="AC38" s="1460" t="s">
        <v>506</v>
      </c>
      <c r="AD38" s="2283" t="s">
        <v>452</v>
      </c>
      <c r="AE38" s="2284"/>
      <c r="AF38" s="2283" t="s">
        <v>453</v>
      </c>
      <c r="AG38" s="2290"/>
      <c r="AH38" s="2284"/>
      <c r="AI38" s="2299"/>
      <c r="AJ38" s="2302"/>
      <c r="AK38" s="2148"/>
      <c r="AQ38" s="1163">
        <v>34</v>
      </c>
    </row>
    <row customHeight="1" ht="35.699999999999996">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460" t="s">
        <v>509</v>
      </c>
      <c r="W39" s="1230" t="s">
        <v>510</v>
      </c>
      <c r="X39" s="1230" t="s">
        <v>511</v>
      </c>
      <c r="Y39" s="1463" t="s">
        <v>463</v>
      </c>
      <c r="Z39" s="2291" t="s">
        <v>464</v>
      </c>
      <c r="AA39" s="2292"/>
      <c r="AB39" s="2300"/>
      <c r="AC39" s="1460" t="s">
        <v>509</v>
      </c>
      <c r="AD39" s="1230" t="s">
        <v>510</v>
      </c>
      <c r="AE39" s="1230" t="s">
        <v>511</v>
      </c>
      <c r="AF39" s="1463" t="s">
        <v>463</v>
      </c>
      <c r="AG39" s="2291" t="s">
        <v>464</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253</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253</v>
      </c>
      <c r="B42" s="1371" t="s">
        <v>254</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253</v>
      </c>
      <c r="B43" s="1371" t="s">
        <v>254</v>
      </c>
      <c r="C43" s="1371" t="s">
        <v>255</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498</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499</v>
      </c>
      <c r="AM43" s="508"/>
      <c r="AN43" s="508" t="str">
        <f>IF(T43="","",T43)</f>
        <v>Наименование централизованной системы холодного водоснабжения</v>
      </c>
      <c r="AO43" s="508"/>
      <c r="AP43" s="508"/>
      <c r="AQ43" s="1163">
        <v>23</v>
      </c>
    </row>
    <row customHeight="1" ht="24">
      <c r="A44" s="1371" t="s">
        <v>253</v>
      </c>
      <c r="B44" s="1371" t="s">
        <v>254</v>
      </c>
      <c r="C44" s="1371" t="s">
        <v>255</v>
      </c>
      <c r="D44" s="1371" t="s">
        <v>514</v>
      </c>
      <c r="E44" s="2280"/>
      <c r="F44" s="2280"/>
      <c r="G44" s="2280"/>
      <c r="H44" s="2280"/>
      <c r="I44" s="2277" t="str">
        <f>S43&amp;".1"</f>
        <v>...1</v>
      </c>
      <c r="J44" s="1371"/>
      <c r="K44" s="1371"/>
      <c r="L44" s="1372"/>
      <c r="P44" s="2278">
        <v>1</v>
      </c>
      <c r="Q44" s="1458"/>
      <c r="R44" s="364"/>
      <c r="S44" s="1465"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253</v>
      </c>
      <c r="B45" s="1371" t="s">
        <v>254</v>
      </c>
      <c r="C45" s="1371" t="s">
        <v>255</v>
      </c>
      <c r="D45" s="1371" t="s">
        <v>514</v>
      </c>
      <c r="E45" s="2280"/>
      <c r="F45" s="2280"/>
      <c r="G45" s="2280"/>
      <c r="H45" s="2280"/>
      <c r="I45" s="2307"/>
      <c r="J45" s="2277" t="str">
        <f>I44&amp;".1"</f>
        <v>...1.1</v>
      </c>
      <c r="K45" s="1371"/>
      <c r="L45" s="1372" t="s">
        <v>423</v>
      </c>
      <c r="P45" s="2278"/>
      <c r="Q45" s="2278">
        <v>1</v>
      </c>
      <c r="R45" s="365"/>
      <c r="S45" s="1465"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253</v>
      </c>
      <c r="B46" s="1371" t="s">
        <v>254</v>
      </c>
      <c r="C46" s="1371" t="s">
        <v>255</v>
      </c>
      <c r="D46" s="1371" t="s">
        <v>514</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253</v>
      </c>
      <c r="B47" s="1371" t="s">
        <v>254</v>
      </c>
      <c r="C47" s="1371" t="s">
        <v>255</v>
      </c>
      <c r="D47" s="1371" t="s">
        <v>514</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253</v>
      </c>
      <c r="B48" s="1371" t="s">
        <v>254</v>
      </c>
      <c r="C48" s="1371" t="s">
        <v>255</v>
      </c>
      <c r="D48" s="1371" t="s">
        <v>514</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253</v>
      </c>
      <c r="B49" s="1371" t="s">
        <v>254</v>
      </c>
      <c r="C49" s="1371" t="s">
        <v>255</v>
      </c>
      <c r="D49" s="1371" t="s">
        <v>514</v>
      </c>
      <c r="E49" s="2280"/>
      <c r="F49" s="2280"/>
      <c r="G49" s="2280"/>
      <c r="H49" s="2280"/>
      <c r="I49" s="2277"/>
      <c r="J49" s="1371"/>
      <c r="K49" s="1371"/>
      <c r="L49" s="1372"/>
      <c r="P49" s="2278"/>
      <c r="Q49" s="1458"/>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253</v>
      </c>
      <c r="B50" s="1371" t="s">
        <v>254</v>
      </c>
      <c r="C50" s="1371" t="s">
        <v>255</v>
      </c>
      <c r="D50" s="1371" t="s">
        <v>514</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253</v>
      </c>
      <c r="B51" s="1351" t="s">
        <v>254</v>
      </c>
      <c r="C51" s="1322"/>
      <c r="D51" s="1322"/>
      <c r="E51" s="2280"/>
      <c r="F51" s="2279"/>
      <c r="G51" s="1322"/>
      <c r="H51" s="1322"/>
      <c r="I51" s="1322"/>
      <c r="J51" s="1322"/>
      <c r="K51" s="1322"/>
      <c r="L51" s="1466"/>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253</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768E1-356C-38C3-2174-6DD15A4D51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465">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61"/>
      <c r="Q3" s="360"/>
      <c r="R3" s="361"/>
      <c r="S3" s="1465">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465">
        <f>INDEX(PT_DIFFERENTIATION_NUM_CS,MATCH(C4,PT_DIFFERENTIATION_CS_ID,0))</f>
      </c>
      <c r="T4" s="317" t="s">
        <v>498</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499</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80"/>
      <c r="F5" s="2280"/>
      <c r="G5" s="2280"/>
      <c r="H5" s="2280"/>
      <c r="I5" s="2277">
        <f>S4&amp;".1"</f>
      </c>
      <c r="J5" s="1371"/>
      <c r="K5" s="1371"/>
      <c r="L5" s="1372"/>
      <c r="P5" s="2278">
        <v>1</v>
      </c>
      <c r="Q5" s="1458"/>
      <c r="R5" s="364"/>
      <c r="S5" s="1465">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465">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465">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64"/>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58"/>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466"/>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55"/>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460" t="s">
        <v>506</v>
      </c>
      <c r="W38" s="2283" t="s">
        <v>452</v>
      </c>
      <c r="X38" s="2284"/>
      <c r="Y38" s="2283" t="s">
        <v>453</v>
      </c>
      <c r="Z38" s="2290"/>
      <c r="AA38" s="2284"/>
      <c r="AB38" s="2299"/>
      <c r="AC38" s="1460" t="s">
        <v>506</v>
      </c>
      <c r="AD38" s="2283" t="s">
        <v>452</v>
      </c>
      <c r="AE38" s="2284"/>
      <c r="AF38" s="2283" t="s">
        <v>453</v>
      </c>
      <c r="AG38" s="2290"/>
      <c r="AH38" s="2284"/>
      <c r="AI38" s="2299"/>
      <c r="AJ38" s="2302"/>
      <c r="AK38" s="2148"/>
      <c r="AQ38" s="1163">
        <v>34</v>
      </c>
    </row>
    <row customHeight="1" ht="35.699999999999996">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460" t="s">
        <v>509</v>
      </c>
      <c r="W39" s="1230" t="s">
        <v>510</v>
      </c>
      <c r="X39" s="1230" t="s">
        <v>511</v>
      </c>
      <c r="Y39" s="1463" t="s">
        <v>463</v>
      </c>
      <c r="Z39" s="2291" t="s">
        <v>464</v>
      </c>
      <c r="AA39" s="2292"/>
      <c r="AB39" s="2300"/>
      <c r="AC39" s="1460" t="s">
        <v>509</v>
      </c>
      <c r="AD39" s="1230" t="s">
        <v>510</v>
      </c>
      <c r="AE39" s="1230" t="s">
        <v>511</v>
      </c>
      <c r="AF39" s="1463" t="s">
        <v>463</v>
      </c>
      <c r="AG39" s="2291" t="s">
        <v>464</v>
      </c>
      <c r="AH39" s="2292"/>
      <c r="AI39" s="2300"/>
      <c r="AJ39" s="2303"/>
      <c r="AK39" s="2148"/>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93">
        <f>OFFSET(Z40,0,-1)+1</f>
        <v>7</v>
      </c>
      <c r="AA40" s="2293"/>
      <c r="AB40" s="1459">
        <f>OFFSET(AB40,0,-2)+1</f>
        <v>8</v>
      </c>
      <c r="AC40" s="1459">
        <f>OFFSET(AC40,0,-1)+1</f>
        <v>9</v>
      </c>
      <c r="AD40" s="1459">
        <f>OFFSET(AD40,0,-1)+1</f>
        <v>10</v>
      </c>
      <c r="AE40" s="1459">
        <f>OFFSET(AE40,0,-1)+1</f>
        <v>11</v>
      </c>
      <c r="AF40" s="1459">
        <f>OFFSET(AF40,0,-1)+1</f>
        <v>12</v>
      </c>
      <c r="AG40" s="2293">
        <f>OFFSET(AG40,0,-1)+1</f>
        <v>13</v>
      </c>
      <c r="AH40" s="2293"/>
      <c r="AI40" s="1459">
        <f>OFFSET(AI40,0,-2)+1</f>
        <v>14</v>
      </c>
      <c r="AJ40" s="1253">
        <f>OFFSET(AJ40,0,-1)</f>
        <v>14</v>
      </c>
      <c r="AK40" s="1459">
        <f>OFFSET(AK40,0,-1)+1</f>
        <v>15</v>
      </c>
      <c r="AL40" s="519"/>
      <c r="AM40" s="519"/>
      <c r="AN40" s="519"/>
      <c r="AO40" s="519"/>
      <c r="AP40" s="519"/>
      <c r="AQ40" s="504">
        <v>0</v>
      </c>
    </row>
    <row customHeight="1" ht="24">
      <c r="A41" s="1371" t="s">
        <v>258</v>
      </c>
      <c r="B41" s="1371"/>
      <c r="C41" s="1371"/>
      <c r="D41" s="1371"/>
      <c r="E41" s="2279">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258</v>
      </c>
      <c r="B42" s="1371" t="s">
        <v>259</v>
      </c>
      <c r="C42" s="1371"/>
      <c r="D42" s="1371"/>
      <c r="E42" s="2280"/>
      <c r="F42" s="2279">
        <v>1</v>
      </c>
      <c r="G42" s="1371"/>
      <c r="H42" s="1371"/>
      <c r="I42" s="1371"/>
      <c r="J42" s="1371"/>
      <c r="K42" s="1371"/>
      <c r="L42" s="1372"/>
      <c r="M42" s="1373"/>
      <c r="N42" s="1373"/>
      <c r="O42" s="1373"/>
      <c r="P42" s="1461"/>
      <c r="Q42" s="360"/>
      <c r="R42" s="361"/>
      <c r="S42" s="1465"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258</v>
      </c>
      <c r="B43" s="1371" t="s">
        <v>259</v>
      </c>
      <c r="C43" s="1371" t="s">
        <v>260</v>
      </c>
      <c r="D43" s="1371"/>
      <c r="E43" s="2280"/>
      <c r="F43" s="2280"/>
      <c r="G43" s="2279">
        <v>1</v>
      </c>
      <c r="H43" s="1371"/>
      <c r="I43" s="1371"/>
      <c r="J43" s="1371"/>
      <c r="K43" s="1371"/>
      <c r="L43" s="1372"/>
      <c r="M43" s="1373"/>
      <c r="N43" s="1373"/>
      <c r="O43" s="1373"/>
      <c r="P43" s="362"/>
      <c r="Q43" s="360"/>
      <c r="R43" s="361"/>
      <c r="S43" s="1465" t="str">
        <f>INDEX(PT_DIFFERENTIATION_NUM_CS,MATCH(C43,PT_DIFFERENTIATION_CS_ID,0))</f>
        <v>..</v>
      </c>
      <c r="T43" s="317" t="s">
        <v>498</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499</v>
      </c>
      <c r="AM43" s="508"/>
      <c r="AN43" s="508" t="str">
        <f>IF(T43="","",T43)</f>
        <v>Наименование централизованной системы холодного водоснабжения</v>
      </c>
      <c r="AO43" s="508"/>
      <c r="AP43" s="508"/>
      <c r="AQ43" s="1163">
        <v>23</v>
      </c>
    </row>
    <row customHeight="1" ht="24">
      <c r="A44" s="1371" t="s">
        <v>258</v>
      </c>
      <c r="B44" s="1371" t="s">
        <v>259</v>
      </c>
      <c r="C44" s="1371" t="s">
        <v>260</v>
      </c>
      <c r="D44" s="1371" t="s">
        <v>515</v>
      </c>
      <c r="E44" s="2280"/>
      <c r="F44" s="2280"/>
      <c r="G44" s="2280"/>
      <c r="H44" s="2280"/>
      <c r="I44" s="2277" t="str">
        <f>S43&amp;".1"</f>
        <v>...1</v>
      </c>
      <c r="J44" s="1371"/>
      <c r="K44" s="1371"/>
      <c r="L44" s="1372"/>
      <c r="P44" s="2278">
        <v>1</v>
      </c>
      <c r="Q44" s="1458"/>
      <c r="R44" s="364"/>
      <c r="S44" s="1465"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258</v>
      </c>
      <c r="B45" s="1371" t="s">
        <v>259</v>
      </c>
      <c r="C45" s="1371" t="s">
        <v>260</v>
      </c>
      <c r="D45" s="1371" t="s">
        <v>515</v>
      </c>
      <c r="E45" s="2280"/>
      <c r="F45" s="2280"/>
      <c r="G45" s="2280"/>
      <c r="H45" s="2280"/>
      <c r="I45" s="2307"/>
      <c r="J45" s="2277" t="str">
        <f>I44&amp;".1"</f>
        <v>...1.1</v>
      </c>
      <c r="K45" s="1371"/>
      <c r="L45" s="1372" t="s">
        <v>423</v>
      </c>
      <c r="P45" s="2278"/>
      <c r="Q45" s="2278">
        <v>1</v>
      </c>
      <c r="R45" s="365"/>
      <c r="S45" s="1465"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258</v>
      </c>
      <c r="B46" s="1371" t="s">
        <v>259</v>
      </c>
      <c r="C46" s="1371" t="s">
        <v>260</v>
      </c>
      <c r="D46" s="1371" t="s">
        <v>515</v>
      </c>
      <c r="E46" s="2280"/>
      <c r="F46" s="2280"/>
      <c r="G46" s="2280"/>
      <c r="H46" s="2280"/>
      <c r="I46" s="2307"/>
      <c r="J46" s="2307"/>
      <c r="K46" s="2277" t="str">
        <f>J45&amp;".1"</f>
        <v>...1.1.1</v>
      </c>
      <c r="L46" s="1372"/>
      <c r="P46" s="2278"/>
      <c r="Q46" s="2278"/>
      <c r="R46" s="365">
        <v>1</v>
      </c>
      <c r="S46" s="1465" t="str">
        <f>$K46</f>
        <v>...1.1.1</v>
      </c>
      <c r="T46" s="1445"/>
      <c r="U46" s="308"/>
      <c r="V46" s="759"/>
      <c r="W46" s="759"/>
      <c r="X46" s="1265"/>
      <c r="Y46" s="2286"/>
      <c r="Z46" s="2128" t="s">
        <v>61</v>
      </c>
      <c r="AA46" s="2286"/>
      <c r="AB46" s="2128" t="s">
        <v>61</v>
      </c>
      <c r="AC46" s="759"/>
      <c r="AD46" s="759"/>
      <c r="AE46" s="1265"/>
      <c r="AF46" s="2286"/>
      <c r="AG46" s="2128" t="s">
        <v>61</v>
      </c>
      <c r="AH46" s="2308"/>
      <c r="AI46" s="2128" t="s">
        <v>61</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258</v>
      </c>
      <c r="B47" s="1371" t="s">
        <v>259</v>
      </c>
      <c r="C47" s="1371" t="s">
        <v>260</v>
      </c>
      <c r="D47" s="1371" t="s">
        <v>515</v>
      </c>
      <c r="E47" s="2280"/>
      <c r="F47" s="2280"/>
      <c r="G47" s="2280"/>
      <c r="H47" s="2280"/>
      <c r="I47" s="2307"/>
      <c r="J47" s="2307"/>
      <c r="K47" s="2277"/>
      <c r="L47" s="1372"/>
      <c r="P47" s="2278"/>
      <c r="Q47" s="2278"/>
      <c r="R47" s="365"/>
      <c r="S47" s="1464"/>
      <c r="T47" s="308"/>
      <c r="U47" s="308"/>
      <c r="V47" s="333"/>
      <c r="W47" s="333"/>
      <c r="X47" s="336" t="str">
        <f>Y46&amp;"-"&amp;AA46</f>
        <v>-</v>
      </c>
      <c r="Y47" s="2287"/>
      <c r="Z47" s="2128"/>
      <c r="AA47" s="2287"/>
      <c r="AB47" s="2128"/>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258</v>
      </c>
      <c r="B48" s="1371" t="s">
        <v>259</v>
      </c>
      <c r="C48" s="1371" t="s">
        <v>260</v>
      </c>
      <c r="D48" s="1371" t="s">
        <v>515</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258</v>
      </c>
      <c r="B49" s="1371" t="s">
        <v>259</v>
      </c>
      <c r="C49" s="1371" t="s">
        <v>260</v>
      </c>
      <c r="D49" s="1371" t="s">
        <v>515</v>
      </c>
      <c r="E49" s="2280"/>
      <c r="F49" s="2280"/>
      <c r="G49" s="2280"/>
      <c r="H49" s="2280"/>
      <c r="I49" s="2277"/>
      <c r="J49" s="1371"/>
      <c r="K49" s="1371"/>
      <c r="L49" s="1372"/>
      <c r="P49" s="2278"/>
      <c r="Q49" s="1458"/>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258</v>
      </c>
      <c r="B50" s="1371" t="s">
        <v>259</v>
      </c>
      <c r="C50" s="1371" t="s">
        <v>260</v>
      </c>
      <c r="D50" s="1371" t="s">
        <v>515</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258</v>
      </c>
      <c r="B51" s="1351" t="s">
        <v>259</v>
      </c>
      <c r="C51" s="1322"/>
      <c r="D51" s="1322"/>
      <c r="E51" s="2280"/>
      <c r="F51" s="2279"/>
      <c r="G51" s="1322"/>
      <c r="H51" s="1322"/>
      <c r="I51" s="1322"/>
      <c r="J51" s="1322"/>
      <c r="K51" s="1322"/>
      <c r="L51" s="1466"/>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258</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3AFFF-9E27-9E97-F4D4-1429403FF6D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46" width="10.140625" hidden="1" customWidth="1"/>
    <col min="13" max="15" style="2418" width="10.140625" hidden="1" customWidth="1"/>
    <col min="16" max="16" style="1783" width="3.00390625" customWidth="1"/>
    <col min="17" max="17" style="1379" width="3.00390625" customWidth="1"/>
    <col min="18" max="18" style="352" width="3.00390625" customWidth="1"/>
    <col min="19" max="19" style="2428"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310">
        <v>1</v>
      </c>
      <c r="F2" s="1275"/>
      <c r="G2" s="1275"/>
      <c r="H2" s="1275"/>
      <c r="I2" s="1275"/>
      <c r="J2" s="1275"/>
      <c r="K2" s="1275"/>
      <c r="L2" s="1318"/>
      <c r="M2" s="1618"/>
      <c r="N2" s="1618"/>
      <c r="O2" s="1618"/>
      <c r="P2" s="1417"/>
      <c r="Q2" s="881"/>
      <c r="R2" s="363"/>
      <c r="S2" s="1963">
        <f>INDEX(PT_DIFFERENTIATION_NUM_NTAR,MATCH(A2,PT_DIFFERENTIATION_NTAR_ID,0))</f>
      </c>
      <c r="T2" s="1533" t="s">
        <v>142</v>
      </c>
      <c r="U2" s="308"/>
      <c r="V2" s="2264"/>
      <c r="W2" s="2264"/>
      <c r="X2" s="2264"/>
      <c r="Y2" s="2264"/>
      <c r="Z2" s="2264"/>
      <c r="AA2" s="2265"/>
      <c r="AB2" s="1957"/>
      <c r="AC2" s="2264">
        <f>INDEX(PT_DIFFERENTIATION_NTAR,MATCH(A2,PT_DIFFERENTIATION_NTAR_ID,0))</f>
      </c>
      <c r="AD2" s="2264"/>
      <c r="AE2" s="2264"/>
      <c r="AF2" s="2264"/>
      <c r="AG2" s="2264"/>
      <c r="AH2" s="2264"/>
      <c r="AI2" s="2264"/>
      <c r="AJ2" s="2265"/>
      <c r="AK2" s="1266" t="s">
        <v>413</v>
      </c>
      <c r="AM2" s="1632"/>
      <c r="AN2" s="1632" t="str">
        <f>IF(T2="","",T2)</f>
        <v>Наименование тарифа</v>
      </c>
      <c r="AO2" s="1632"/>
      <c r="AP2" s="1632"/>
      <c r="AQ2" s="1639">
        <v>0</v>
      </c>
    </row>
    <row customHeight="1" ht="21" hidden="1">
      <c r="A3" s="1275"/>
      <c r="B3" s="1275"/>
      <c r="C3" s="1275"/>
      <c r="D3" s="1275"/>
      <c r="E3" s="2311"/>
      <c r="F3" s="2310">
        <v>1</v>
      </c>
      <c r="G3" s="1275"/>
      <c r="H3" s="1275"/>
      <c r="I3" s="1275"/>
      <c r="J3" s="1275"/>
      <c r="K3" s="1275"/>
      <c r="L3" s="1318"/>
      <c r="M3" s="1618"/>
      <c r="N3" s="1618"/>
      <c r="O3" s="1618"/>
      <c r="P3" s="1974"/>
      <c r="Q3" s="1419"/>
      <c r="R3" s="361"/>
      <c r="S3" s="1963">
        <f>INDEX(PT_DIFFERENTIATION_NUM_TER,MATCH(B3,PT_DIFFERENTIATION_TER_ID,0))</f>
      </c>
      <c r="T3" s="1530" t="s">
        <v>414</v>
      </c>
      <c r="U3" s="308"/>
      <c r="V3" s="2264"/>
      <c r="W3" s="2264"/>
      <c r="X3" s="2264"/>
      <c r="Y3" s="2264"/>
      <c r="Z3" s="2264"/>
      <c r="AA3" s="2265"/>
      <c r="AB3" s="1957"/>
      <c r="AC3" s="2264">
        <f>INDEX(PT_DIFFERENTIATION_TER,MATCH(B3,PT_DIFFERENTIATION_TER_ID,0))</f>
      </c>
      <c r="AD3" s="2264"/>
      <c r="AE3" s="2264"/>
      <c r="AF3" s="2264"/>
      <c r="AG3" s="2264"/>
      <c r="AH3" s="2264"/>
      <c r="AI3" s="2264"/>
      <c r="AJ3" s="2265"/>
      <c r="AK3" s="1266" t="s">
        <v>415</v>
      </c>
      <c r="AM3" s="1632"/>
      <c r="AN3" s="1632" t="str">
        <f>IF(T3="","",T3)</f>
        <v>Территория действия тарифа</v>
      </c>
      <c r="AO3" s="1632"/>
      <c r="AP3" s="1632"/>
      <c r="AQ3" s="1639">
        <v>0</v>
      </c>
    </row>
    <row customHeight="1" ht="22.5" hidden="1">
      <c r="A4" s="1275"/>
      <c r="B4" s="1275"/>
      <c r="C4" s="1275"/>
      <c r="D4" s="1275"/>
      <c r="E4" s="2311"/>
      <c r="F4" s="2311"/>
      <c r="G4" s="2310">
        <v>1</v>
      </c>
      <c r="H4" s="1275"/>
      <c r="I4" s="1275"/>
      <c r="J4" s="1275"/>
      <c r="K4" s="1275"/>
      <c r="L4" s="1318"/>
      <c r="M4" s="1618"/>
      <c r="N4" s="1618"/>
      <c r="O4" s="1618"/>
      <c r="P4" s="1420"/>
      <c r="Q4" s="1419"/>
      <c r="R4" s="361"/>
      <c r="S4" s="1963">
        <f>INDEX(PT_DIFFERENTIATION_NUM_CS,MATCH(C4,PT_DIFFERENTIATION_CS_ID,0))</f>
      </c>
      <c r="T4" s="317" t="s">
        <v>416</v>
      </c>
      <c r="U4" s="308"/>
      <c r="V4" s="2264"/>
      <c r="W4" s="2264"/>
      <c r="X4" s="2264"/>
      <c r="Y4" s="2264"/>
      <c r="Z4" s="2264"/>
      <c r="AA4" s="2265"/>
      <c r="AB4" s="1957"/>
      <c r="AC4" s="2264">
        <f>INDEX(PT_DIFFERENTIATION_CS,MATCH(C4,PT_DIFFERENTIATION_CS_ID,0))</f>
      </c>
      <c r="AD4" s="2264"/>
      <c r="AE4" s="2264"/>
      <c r="AF4" s="2264"/>
      <c r="AG4" s="2264"/>
      <c r="AH4" s="2264"/>
      <c r="AI4" s="2264"/>
      <c r="AJ4" s="2265"/>
      <c r="AK4" s="1266" t="s">
        <v>417</v>
      </c>
      <c r="AM4" s="1632"/>
      <c r="AN4" s="1632" t="str">
        <f>IF(T4="","",T4)</f>
        <v>Наименование системы теплоснабжения </v>
      </c>
      <c r="AO4" s="1632"/>
      <c r="AP4" s="1632"/>
      <c r="AQ4" s="1639">
        <v>0</v>
      </c>
    </row>
    <row customHeight="1" ht="21" hidden="1">
      <c r="A5" s="1275"/>
      <c r="B5" s="1275"/>
      <c r="C5" s="1275"/>
      <c r="D5" s="1275"/>
      <c r="E5" s="2311"/>
      <c r="F5" s="2311"/>
      <c r="G5" s="2311"/>
      <c r="H5" s="2310">
        <v>1</v>
      </c>
      <c r="I5" s="1275"/>
      <c r="J5" s="1275"/>
      <c r="K5" s="1275"/>
      <c r="L5" s="1318"/>
      <c r="M5" s="1618"/>
      <c r="N5" s="1618"/>
      <c r="O5" s="1618"/>
      <c r="P5" s="1420"/>
      <c r="Q5" s="1419"/>
      <c r="R5" s="361"/>
      <c r="S5" s="1963">
        <f>INDEX(PT_DIFFERENTIATION_NUM_IST_TE,MATCH(D5,PT_DIFFERENTIATION_IST_TE_ID,0))</f>
      </c>
      <c r="T5" s="318" t="s">
        <v>418</v>
      </c>
      <c r="U5" s="308"/>
      <c r="V5" s="2264"/>
      <c r="W5" s="2264"/>
      <c r="X5" s="2264"/>
      <c r="Y5" s="2264"/>
      <c r="Z5" s="2264"/>
      <c r="AA5" s="2265"/>
      <c r="AB5" s="1957"/>
      <c r="AC5" s="2264">
        <f>INDEX(PT_DIFFERENTIATION_IST_TE,MATCH(D5,PT_DIFFERENTIATION_IST_TE_ID,0))</f>
      </c>
      <c r="AD5" s="2264"/>
      <c r="AE5" s="2264"/>
      <c r="AF5" s="2264"/>
      <c r="AG5" s="2264"/>
      <c r="AH5" s="2264"/>
      <c r="AI5" s="2264"/>
      <c r="AJ5" s="2265"/>
      <c r="AK5" s="1266" t="s">
        <v>419</v>
      </c>
      <c r="AM5" s="1632"/>
      <c r="AN5" s="1632" t="str">
        <f>IF(T5="","",T5)</f>
        <v>Источник тепловой энергии  </v>
      </c>
      <c r="AO5" s="1632"/>
      <c r="AP5" s="1632"/>
      <c r="AQ5" s="1639">
        <v>0</v>
      </c>
    </row>
    <row s="1650" customFormat="1" customHeight="1" ht="0.75" hidden="1">
      <c r="A6" s="1383"/>
      <c r="B6" s="1383"/>
      <c r="C6" s="1383"/>
      <c r="D6" s="1383"/>
      <c r="E6" s="2311"/>
      <c r="F6" s="2311"/>
      <c r="G6" s="2311"/>
      <c r="H6" s="2311"/>
      <c r="I6" s="2148">
        <f>S5&amp;".1"</f>
      </c>
      <c r="J6" s="1383"/>
      <c r="K6" s="1383"/>
      <c r="L6" s="1389" t="s">
        <v>420</v>
      </c>
      <c r="M6" s="1254"/>
      <c r="N6" s="1254"/>
      <c r="O6" s="1254"/>
      <c r="P6" s="2278">
        <v>1</v>
      </c>
      <c r="Q6" s="1959"/>
      <c r="R6" s="364"/>
      <c r="S6" s="1050"/>
      <c r="T6" s="1391"/>
      <c r="U6" s="1392"/>
      <c r="V6" s="2318"/>
      <c r="W6" s="2318"/>
      <c r="X6" s="2318"/>
      <c r="Y6" s="2318"/>
      <c r="Z6" s="2318"/>
      <c r="AA6" s="2319"/>
      <c r="AB6" s="1965"/>
      <c r="AC6" s="2318"/>
      <c r="AD6" s="2318"/>
      <c r="AE6" s="2318"/>
      <c r="AF6" s="2318"/>
      <c r="AG6" s="2318"/>
      <c r="AH6" s="2318"/>
      <c r="AI6" s="2318"/>
      <c r="AJ6" s="2319"/>
      <c r="AK6" s="1393"/>
      <c r="AM6" s="1632"/>
      <c r="AN6" s="1632" t="str">
        <f>IF(T6="","",T6)</f>
        <v/>
      </c>
      <c r="AO6" s="1632"/>
      <c r="AP6" s="1632"/>
      <c r="AQ6" s="1644">
        <v>0</v>
      </c>
    </row>
    <row s="1650" customFormat="1" customHeight="1" ht="0.75" hidden="1">
      <c r="A7" s="1383"/>
      <c r="B7" s="1383"/>
      <c r="C7" s="1383"/>
      <c r="D7" s="1383"/>
      <c r="E7" s="2311"/>
      <c r="F7" s="2311"/>
      <c r="G7" s="2311"/>
      <c r="H7" s="2311"/>
      <c r="I7" s="2122"/>
      <c r="J7" s="2148">
        <f>S5&amp;".1"</f>
      </c>
      <c r="K7" s="1383"/>
      <c r="L7" s="1389"/>
      <c r="M7" s="1254"/>
      <c r="N7" s="1254"/>
      <c r="O7" s="1254"/>
      <c r="P7" s="2278"/>
      <c r="Q7" s="2278">
        <v>1</v>
      </c>
      <c r="R7" s="365"/>
      <c r="S7" s="1050"/>
      <c r="T7" s="1407"/>
      <c r="U7" s="1392"/>
      <c r="V7" s="2318"/>
      <c r="W7" s="2318"/>
      <c r="X7" s="2318"/>
      <c r="Y7" s="2318"/>
      <c r="Z7" s="2318"/>
      <c r="AA7" s="2319"/>
      <c r="AB7" s="1965"/>
      <c r="AC7" s="2318"/>
      <c r="AD7" s="2318"/>
      <c r="AE7" s="2318"/>
      <c r="AF7" s="2318"/>
      <c r="AG7" s="2318"/>
      <c r="AH7" s="2318"/>
      <c r="AI7" s="2318"/>
      <c r="AJ7" s="2319"/>
      <c r="AK7" s="1393"/>
      <c r="AM7" s="1632"/>
      <c r="AN7" s="1632" t="str">
        <f>IF(T7="","",T7)</f>
        <v/>
      </c>
      <c r="AO7" s="1632"/>
      <c r="AP7" s="1632"/>
      <c r="AQ7" s="1644">
        <v>0</v>
      </c>
    </row>
    <row customHeight="1" ht="21" hidden="1">
      <c r="A8" s="1275"/>
      <c r="B8" s="1275"/>
      <c r="C8" s="1275"/>
      <c r="D8" s="1275"/>
      <c r="E8" s="2311"/>
      <c r="F8" s="2311"/>
      <c r="G8" s="2311"/>
      <c r="H8" s="2311"/>
      <c r="I8" s="2122"/>
      <c r="J8" s="2122"/>
      <c r="K8" s="1996">
        <f>S5&amp;".1"</f>
      </c>
      <c r="L8" s="1318"/>
      <c r="P8" s="2278"/>
      <c r="Q8" s="2278"/>
      <c r="R8" s="2000">
        <v>1</v>
      </c>
      <c r="S8" s="1998">
        <f>$K8</f>
      </c>
      <c r="T8" s="1999"/>
      <c r="U8" s="308"/>
      <c r="V8" s="759"/>
      <c r="W8" s="1265"/>
      <c r="X8" s="1997"/>
      <c r="Y8" s="1995" t="s">
        <v>61</v>
      </c>
      <c r="Z8" s="1997"/>
      <c r="AA8" s="1995" t="s">
        <v>61</v>
      </c>
      <c r="AB8" s="2001"/>
      <c r="AC8" s="2002" t="s">
        <v>22</v>
      </c>
      <c r="AD8" s="759"/>
      <c r="AE8" s="1265"/>
      <c r="AF8" s="1960"/>
      <c r="AG8" s="1947" t="s">
        <v>61</v>
      </c>
      <c r="AH8" s="1960"/>
      <c r="AI8" s="1947" t="s">
        <v>61</v>
      </c>
      <c r="AJ8" s="1356"/>
      <c r="AK8" s="2274" t="s">
        <v>481</v>
      </c>
      <c r="AL8" s="1644">
        <f>STRCHECKDATE(#REF!)</f>
      </c>
      <c r="AM8" s="1632"/>
      <c r="AN8" s="1632" t="str">
        <f>IF(T8="","",T8)</f>
        <v/>
      </c>
      <c r="AO8" s="1632"/>
      <c r="AP8" s="1632"/>
      <c r="AQ8" s="1639">
        <v>0</v>
      </c>
    </row>
    <row customHeight="1" ht="11.25" hidden="1">
      <c r="A9" s="1275"/>
      <c r="B9" s="1275"/>
      <c r="C9" s="1275"/>
      <c r="D9" s="1275"/>
      <c r="E9" s="2311"/>
      <c r="F9" s="2311"/>
      <c r="G9" s="2311"/>
      <c r="H9" s="2311"/>
      <c r="I9" s="2122"/>
      <c r="J9" s="2148"/>
      <c r="K9" s="1275"/>
      <c r="L9" s="1318"/>
      <c r="P9" s="2278"/>
      <c r="Q9" s="2278"/>
      <c r="R9" s="364"/>
      <c r="S9" s="1286"/>
      <c r="T9" s="295" t="s">
        <v>485</v>
      </c>
      <c r="U9" s="608"/>
      <c r="V9" s="608"/>
      <c r="W9" s="608"/>
      <c r="X9" s="608"/>
      <c r="Y9" s="608"/>
      <c r="Z9" s="608"/>
      <c r="AA9" s="608"/>
      <c r="AB9" s="608"/>
      <c r="AC9" s="608"/>
      <c r="AD9" s="608"/>
      <c r="AE9" s="608"/>
      <c r="AF9" s="608"/>
      <c r="AG9" s="608"/>
      <c r="AH9" s="608"/>
      <c r="AI9" s="608"/>
      <c r="AJ9" s="332"/>
      <c r="AK9" s="2276"/>
      <c r="AM9" s="1632"/>
      <c r="AN9" s="1632" t="str">
        <f>IF(T9="","",T9)</f>
        <v>Добавить строку</v>
      </c>
      <c r="AO9" s="1632"/>
      <c r="AP9" s="1632"/>
      <c r="AQ9" s="1639">
        <v>0</v>
      </c>
    </row>
    <row s="1650" customFormat="1" customHeight="1" ht="0.75" hidden="1">
      <c r="A10" s="1383"/>
      <c r="B10" s="1383"/>
      <c r="C10" s="1383"/>
      <c r="D10" s="1383"/>
      <c r="E10" s="2311"/>
      <c r="F10" s="2311"/>
      <c r="G10" s="2311"/>
      <c r="H10" s="2311"/>
      <c r="I10" s="2148"/>
      <c r="J10" s="1383"/>
      <c r="K10" s="1383"/>
      <c r="L10" s="1389"/>
      <c r="M10" s="1254"/>
      <c r="N10" s="1254"/>
      <c r="O10" s="1254"/>
      <c r="P10" s="2278"/>
      <c r="Q10" s="1959"/>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311"/>
      <c r="F11" s="2311"/>
      <c r="G11" s="2311"/>
      <c r="H11" s="2310"/>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311"/>
      <c r="F12" s="2311"/>
      <c r="G12" s="2310"/>
      <c r="H12" s="1382"/>
      <c r="I12" s="1382"/>
      <c r="J12" s="1382"/>
      <c r="K12" s="1382"/>
      <c r="L12" s="1385"/>
      <c r="M12" s="1386"/>
      <c r="N12" s="1386"/>
      <c r="O12" s="359"/>
      <c r="P12" s="1324"/>
      <c r="Q12" s="1325"/>
      <c r="R12" s="1324"/>
      <c r="S12" s="1330"/>
      <c r="T12" s="1333" t="s">
        <v>431</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311"/>
      <c r="F13" s="2310"/>
      <c r="G13" s="1382"/>
      <c r="H13" s="1382"/>
      <c r="I13" s="1382"/>
      <c r="J13" s="1382"/>
      <c r="K13" s="1382"/>
      <c r="L13" s="1385"/>
      <c r="M13" s="1387"/>
      <c r="N13" s="1387"/>
      <c r="O13" s="359"/>
      <c r="P13" s="1324"/>
      <c r="Q13" s="1325"/>
      <c r="R13" s="1324"/>
      <c r="S13" s="1330"/>
      <c r="T13" s="1333" t="s">
        <v>432</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310"/>
      <c r="F14" s="1383"/>
      <c r="G14" s="1383"/>
      <c r="H14" s="1383"/>
      <c r="I14" s="1383"/>
      <c r="J14" s="1383"/>
      <c r="K14" s="1383"/>
      <c r="L14" s="1389"/>
      <c r="M14" s="1387"/>
      <c r="N14" s="1387"/>
      <c r="O14" s="359"/>
      <c r="P14" s="388"/>
      <c r="Q14" s="1352"/>
      <c r="R14" s="388"/>
      <c r="S14" s="1330"/>
      <c r="T14" s="1333" t="s">
        <v>433</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3"/>
      <c r="AG16" s="1971" t="s">
        <v>61</v>
      </c>
      <c r="AH16" s="1743"/>
      <c r="AI16" s="1971" t="s">
        <v>61</v>
      </c>
      <c r="AQ16" s="1639">
        <v>0</v>
      </c>
    </row>
    <row customHeight="1" ht="14.25" hidden="1">
      <c r="AL17" s="1649"/>
      <c r="AM17" s="1649"/>
      <c r="AN17" s="1649"/>
      <c r="AO17" s="1649"/>
      <c r="AP17" s="1649"/>
      <c r="AQ17" s="1639">
        <v>0</v>
      </c>
    </row>
    <row customHeight="1" ht="14.25" hidden="1">
      <c r="O18" s="1353" t="s">
        <v>434</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6"/>
      <c r="B20" s="1976"/>
      <c r="C20" s="1976"/>
      <c r="D20" s="1976"/>
      <c r="E20" s="1976"/>
      <c r="F20" s="1976"/>
      <c r="G20" s="1976"/>
      <c r="H20" s="1976"/>
      <c r="I20" s="1976"/>
      <c r="J20" s="1976"/>
      <c r="K20" s="1976"/>
      <c r="L20" s="1976"/>
      <c r="M20" s="1977"/>
      <c r="N20" s="1977"/>
      <c r="O20" s="1978" t="s">
        <v>435</v>
      </c>
      <c r="P20" s="1516"/>
      <c r="Q20" s="1518"/>
      <c r="R20" s="1518"/>
      <c r="Y20" s="1515" t="s">
        <v>437</v>
      </c>
      <c r="AA20" s="1515" t="s">
        <v>438</v>
      </c>
      <c r="AC20" s="1515" t="s">
        <v>487</v>
      </c>
      <c r="AG20" s="1515" t="s">
        <v>437</v>
      </c>
      <c r="AI20" s="1515" t="s">
        <v>438</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51"/>
      <c r="AQ24" s="1639">
        <v>38</v>
      </c>
    </row>
    <row customHeight="1" ht="14.699999999999998">
      <c r="Q25" s="299"/>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58" customFormat="1" customHeight="1" ht="25.5" hidden="1">
      <c r="A27" s="1256"/>
      <c r="B27" s="1256"/>
      <c r="C27" s="1256"/>
      <c r="D27" s="1256"/>
      <c r="E27" s="1256"/>
      <c r="F27" s="1256"/>
      <c r="G27" s="1256"/>
      <c r="H27" s="1256"/>
      <c r="I27" s="1256"/>
      <c r="J27" s="1256"/>
      <c r="K27" s="1256"/>
      <c r="L27" s="1388"/>
      <c r="M27" s="1256"/>
      <c r="N27" s="1256"/>
      <c r="O27" s="1256"/>
      <c r="P27" s="1376"/>
      <c r="Q27" s="1376"/>
      <c r="S27" s="2271" t="s">
        <v>41</v>
      </c>
      <c r="T27" s="2271"/>
      <c r="U27" s="1380"/>
      <c r="V27" s="2272" t="str">
        <f>IF(TITLE_NAME_OR_PR_CHANGE="",IF(TITLE_NAME_OR_PR="","",TITLE_NAME_OR_PR),TITLE_NAME_OR_PR_CHANGE)</f>
        <v/>
      </c>
      <c r="W27" s="2272"/>
      <c r="X27" s="2272"/>
      <c r="Y27" s="2272"/>
      <c r="Z27" s="2272"/>
      <c r="AA27" s="1643"/>
      <c r="AB27" s="1643"/>
      <c r="AC27" s="2272"/>
      <c r="AD27" s="2272"/>
      <c r="AE27" s="2272"/>
      <c r="AF27" s="2272"/>
      <c r="AG27" s="2272"/>
      <c r="AH27" s="2272"/>
      <c r="AI27" s="1643"/>
      <c r="AJ27" s="1643"/>
      <c r="AK27" s="288"/>
      <c r="AL27" s="376"/>
      <c r="AM27" s="376"/>
      <c r="AN27" s="376"/>
      <c r="AO27" s="376"/>
      <c r="AP27" s="376"/>
      <c r="AQ27" s="426">
        <v>0</v>
      </c>
    </row>
    <row s="1858" customFormat="1" customHeight="1" ht="18.75" hidden="1">
      <c r="A28" s="1256"/>
      <c r="B28" s="1256"/>
      <c r="C28" s="1256"/>
      <c r="D28" s="1256"/>
      <c r="E28" s="1256"/>
      <c r="F28" s="1256"/>
      <c r="G28" s="1256"/>
      <c r="H28" s="1256"/>
      <c r="I28" s="1256"/>
      <c r="J28" s="1256"/>
      <c r="K28" s="1256"/>
      <c r="L28" s="1388"/>
      <c r="M28" s="1256"/>
      <c r="N28" s="1256"/>
      <c r="O28" s="1256"/>
      <c r="P28" s="1376"/>
      <c r="Q28" s="1376"/>
      <c r="S28" s="2271" t="s">
        <v>440</v>
      </c>
      <c r="T28" s="2271"/>
      <c r="U28" s="1380"/>
      <c r="V28" s="2285" t="str">
        <f>IF(TITLE_DATE_PR_CHANGE="",IF(TITLE_DATE_PR="","",TITLE_DATE_PR),TITLE_DATE_PR_CHANGE)</f>
        <v/>
      </c>
      <c r="W28" s="2285"/>
      <c r="X28" s="2285"/>
      <c r="Y28" s="2285"/>
      <c r="Z28" s="2285"/>
      <c r="AA28" s="1643"/>
      <c r="AB28" s="1643"/>
      <c r="AC28" s="2285"/>
      <c r="AD28" s="2285"/>
      <c r="AE28" s="2285"/>
      <c r="AF28" s="2285"/>
      <c r="AG28" s="2285"/>
      <c r="AH28" s="2285"/>
      <c r="AI28" s="1643"/>
      <c r="AJ28" s="1643"/>
      <c r="AK28" s="288"/>
      <c r="AL28" s="376"/>
      <c r="AM28" s="376"/>
      <c r="AN28" s="376"/>
      <c r="AO28" s="376"/>
      <c r="AP28" s="376"/>
      <c r="AQ28" s="426">
        <v>0</v>
      </c>
    </row>
    <row s="1858" customFormat="1" customHeight="1" ht="18.75" hidden="1">
      <c r="A29" s="1256"/>
      <c r="B29" s="1256"/>
      <c r="C29" s="1256"/>
      <c r="D29" s="1256"/>
      <c r="E29" s="1256"/>
      <c r="F29" s="1256"/>
      <c r="G29" s="1256"/>
      <c r="H29" s="1256"/>
      <c r="I29" s="1256"/>
      <c r="J29" s="1256"/>
      <c r="K29" s="1256"/>
      <c r="L29" s="1388"/>
      <c r="M29" s="1256"/>
      <c r="N29" s="1256"/>
      <c r="O29" s="1256"/>
      <c r="P29" s="1376"/>
      <c r="Q29" s="1376"/>
      <c r="S29" s="2271" t="s">
        <v>441</v>
      </c>
      <c r="T29" s="2271"/>
      <c r="U29" s="1380"/>
      <c r="V29" s="2272" t="str">
        <f>IF(TITLE_NUMBER_PR_CHANGE="",IF(TITLE_NUMBER_PR="","",TITLE_NUMBER_PR),TITLE_NUMBER_PR_CHANGE)</f>
        <v/>
      </c>
      <c r="W29" s="2272"/>
      <c r="X29" s="2272"/>
      <c r="Y29" s="2272"/>
      <c r="Z29" s="2272"/>
      <c r="AA29" s="1643"/>
      <c r="AB29" s="1643"/>
      <c r="AC29" s="2272"/>
      <c r="AD29" s="2272"/>
      <c r="AE29" s="2272"/>
      <c r="AF29" s="2272"/>
      <c r="AG29" s="2272"/>
      <c r="AH29" s="2272"/>
      <c r="AI29" s="1643"/>
      <c r="AJ29" s="1643"/>
      <c r="AK29" s="288"/>
      <c r="AL29" s="376"/>
      <c r="AM29" s="376"/>
      <c r="AN29" s="376"/>
      <c r="AO29" s="376"/>
      <c r="AP29" s="376"/>
      <c r="AQ29" s="426">
        <v>0</v>
      </c>
    </row>
    <row s="1858" customFormat="1" customHeight="1" ht="18.75" hidden="1">
      <c r="A30" s="1256"/>
      <c r="B30" s="1256"/>
      <c r="C30" s="1256"/>
      <c r="D30" s="1256"/>
      <c r="E30" s="1256"/>
      <c r="F30" s="1256"/>
      <c r="G30" s="1256"/>
      <c r="H30" s="1256"/>
      <c r="I30" s="1256"/>
      <c r="J30" s="1256"/>
      <c r="K30" s="1256"/>
      <c r="L30" s="1388"/>
      <c r="M30" s="1256"/>
      <c r="N30" s="1256"/>
      <c r="O30" s="1256"/>
      <c r="P30" s="1376"/>
      <c r="Q30" s="1376"/>
      <c r="S30" s="2271" t="s">
        <v>42</v>
      </c>
      <c r="T30" s="2271"/>
      <c r="U30" s="1380"/>
      <c r="V30" s="2272" t="str">
        <f>IF(TITLE_IST_PUB_CHANGE="",IF(TITLE_IST_PUB="","",TITLE_IST_PUB),TITLE_IST_PUB_CHANGE)</f>
        <v/>
      </c>
      <c r="W30" s="2272"/>
      <c r="X30" s="2272"/>
      <c r="Y30" s="2272"/>
      <c r="Z30" s="2272"/>
      <c r="AA30" s="1643"/>
      <c r="AB30" s="1643"/>
      <c r="AC30" s="2272"/>
      <c r="AD30" s="2272"/>
      <c r="AE30" s="2272"/>
      <c r="AF30" s="2272"/>
      <c r="AG30" s="2272"/>
      <c r="AH30" s="2272"/>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58" customFormat="1" customHeight="1" ht="18.75" hidden="1">
      <c r="A32" s="1256"/>
      <c r="B32" s="1256"/>
      <c r="C32" s="1256"/>
      <c r="D32" s="1256"/>
      <c r="E32" s="1256"/>
      <c r="F32" s="1256"/>
      <c r="G32" s="1256"/>
      <c r="H32" s="1256"/>
      <c r="I32" s="1256"/>
      <c r="J32" s="1256"/>
      <c r="K32" s="1256"/>
      <c r="L32" s="1388"/>
      <c r="M32" s="1256"/>
      <c r="N32" s="1256"/>
      <c r="O32" s="1256"/>
      <c r="P32" s="1376"/>
      <c r="Q32" s="1376"/>
      <c r="S32" s="2271" t="s">
        <v>440</v>
      </c>
      <c r="T32" s="2271"/>
      <c r="U32" s="1380"/>
      <c r="V32" s="2285" t="str">
        <f>IF(TITLE_DATE_PR_CHANGE="",IF(TITLE_DATE_PR="","",TITLE_DATE_PR),TITLE_DATE_PR_CHANGE)</f>
        <v/>
      </c>
      <c r="W32" s="2285"/>
      <c r="X32" s="2285"/>
      <c r="Y32" s="2285"/>
      <c r="Z32" s="2285"/>
      <c r="AA32" s="1643"/>
      <c r="AB32" s="1643"/>
      <c r="AC32" s="2285"/>
      <c r="AD32" s="2285"/>
      <c r="AE32" s="2285"/>
      <c r="AF32" s="2285"/>
      <c r="AG32" s="2285"/>
      <c r="AH32" s="2285"/>
      <c r="AI32" s="1643"/>
      <c r="AJ32" s="1643"/>
      <c r="AK32" s="288"/>
      <c r="AL32" s="376"/>
      <c r="AM32" s="376"/>
      <c r="AN32" s="376"/>
      <c r="AO32" s="376"/>
      <c r="AP32" s="376"/>
      <c r="AQ32" s="426">
        <v>0</v>
      </c>
    </row>
    <row s="1858" customFormat="1" customHeight="1" ht="18" hidden="1">
      <c r="A33" s="1256"/>
      <c r="B33" s="1256"/>
      <c r="C33" s="1256"/>
      <c r="D33" s="1256"/>
      <c r="E33" s="1256"/>
      <c r="F33" s="1256"/>
      <c r="G33" s="1256"/>
      <c r="H33" s="1256"/>
      <c r="I33" s="1256"/>
      <c r="J33" s="1256"/>
      <c r="K33" s="1256"/>
      <c r="L33" s="1388"/>
      <c r="M33" s="1256"/>
      <c r="N33" s="1256"/>
      <c r="O33" s="1256"/>
      <c r="P33" s="1376"/>
      <c r="Q33" s="1376"/>
      <c r="S33" s="2271" t="s">
        <v>441</v>
      </c>
      <c r="T33" s="2271"/>
      <c r="U33" s="1380"/>
      <c r="V33" s="2272" t="str">
        <f>IF(TITLE_NUMBER_PR_CHANGE="",IF(TITLE_NUMBER_PR="","",TITLE_NUMBER_PR),TITLE_NUMBER_PR_CHANGE)</f>
        <v/>
      </c>
      <c r="W33" s="2272"/>
      <c r="X33" s="2272"/>
      <c r="Y33" s="2272"/>
      <c r="Z33" s="2272"/>
      <c r="AA33" s="1643"/>
      <c r="AB33" s="1643"/>
      <c r="AC33" s="2272"/>
      <c r="AD33" s="2272"/>
      <c r="AE33" s="2272"/>
      <c r="AF33" s="2272"/>
      <c r="AG33" s="2272"/>
      <c r="AH33" s="2272"/>
      <c r="AI33" s="1643"/>
      <c r="AJ33" s="1643"/>
      <c r="AK33" s="288"/>
      <c r="AL33" s="376"/>
      <c r="AM33" s="376"/>
      <c r="AN33" s="376"/>
      <c r="AO33" s="376"/>
      <c r="AP33" s="376"/>
      <c r="AQ33" s="426">
        <v>0</v>
      </c>
    </row>
    <row s="1858"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5"/>
      <c r="V34" s="1643"/>
      <c r="W34" s="1643"/>
      <c r="X34" s="1643"/>
      <c r="Y34" s="1643"/>
      <c r="Z34" s="1643"/>
      <c r="AA34" s="1650" t="s">
        <v>444</v>
      </c>
      <c r="AB34" s="1650"/>
      <c r="AC34" s="1643"/>
      <c r="AD34" s="1643"/>
      <c r="AE34" s="1643"/>
      <c r="AF34" s="1643"/>
      <c r="AG34" s="1643"/>
      <c r="AH34" s="1643"/>
      <c r="AI34" s="1650" t="s">
        <v>444</v>
      </c>
      <c r="AL34" s="376"/>
      <c r="AM34" s="376"/>
      <c r="AN34" s="376"/>
      <c r="AO34" s="376"/>
      <c r="AP34" s="376"/>
      <c r="AQ34" s="426">
        <v>1</v>
      </c>
    </row>
    <row customHeight="1" ht="14.699999999999998">
      <c r="Q35" s="299"/>
      <c r="R35" s="384"/>
      <c r="S35" s="1283"/>
      <c r="T35" s="465"/>
      <c r="U35" s="1252"/>
      <c r="V35" s="2273"/>
      <c r="W35" s="2273"/>
      <c r="X35" s="2273"/>
      <c r="Y35" s="2273"/>
      <c r="Z35" s="2273"/>
      <c r="AA35" s="2273"/>
      <c r="AB35" s="1962"/>
      <c r="AC35" s="2273"/>
      <c r="AD35" s="2273"/>
      <c r="AE35" s="2273"/>
      <c r="AF35" s="2273"/>
      <c r="AG35" s="2273"/>
      <c r="AH35" s="2273"/>
      <c r="AI35" s="2273"/>
      <c r="AQ35" s="1639">
        <v>14</v>
      </c>
    </row>
    <row customHeight="1" ht="14.699999999999998">
      <c r="Q36" s="299"/>
      <c r="R36" s="384"/>
      <c r="S36" s="2148" t="s">
        <v>317</v>
      </c>
      <c r="T36" s="2148"/>
      <c r="U36" s="2148"/>
      <c r="V36" s="2148"/>
      <c r="W36" s="2148"/>
      <c r="X36" s="2148"/>
      <c r="Y36" s="2148"/>
      <c r="Z36" s="2148"/>
      <c r="AA36" s="2196"/>
      <c r="AB36" s="2196"/>
      <c r="AC36" s="2196"/>
      <c r="AD36" s="2148"/>
      <c r="AE36" s="2148"/>
      <c r="AF36" s="2148"/>
      <c r="AG36" s="2148"/>
      <c r="AH36" s="2148"/>
      <c r="AI36" s="2148"/>
      <c r="AJ36" s="2148"/>
      <c r="AK36" s="2148" t="s">
        <v>318</v>
      </c>
      <c r="AQ36" s="1639">
        <v>14</v>
      </c>
    </row>
    <row customHeight="1" ht="14.699999999999998">
      <c r="Q37" s="299"/>
      <c r="R37" s="384"/>
      <c r="S37" s="2294" t="s">
        <v>88</v>
      </c>
      <c r="T37" s="2230" t="s">
        <v>516</v>
      </c>
      <c r="U37" s="345"/>
      <c r="V37" s="2296"/>
      <c r="W37" s="2296"/>
      <c r="X37" s="2296"/>
      <c r="Y37" s="2296"/>
      <c r="Z37" s="2296"/>
      <c r="AA37" s="2230" t="s">
        <v>447</v>
      </c>
      <c r="AB37" s="2229" t="s">
        <v>517</v>
      </c>
      <c r="AC37" s="2229" t="s">
        <v>491</v>
      </c>
      <c r="AD37" s="2312" t="s">
        <v>446</v>
      </c>
      <c r="AE37" s="2312"/>
      <c r="AF37" s="2296"/>
      <c r="AG37" s="2296"/>
      <c r="AH37" s="2297"/>
      <c r="AI37" s="2298" t="s">
        <v>447</v>
      </c>
      <c r="AJ37" s="2301" t="s">
        <v>449</v>
      </c>
      <c r="AK37" s="2148"/>
      <c r="AQ37" s="1639">
        <v>14</v>
      </c>
    </row>
    <row customHeight="1" ht="35.699999999999996">
      <c r="Q38" s="299"/>
      <c r="R38" s="384"/>
      <c r="S38" s="2294"/>
      <c r="T38" s="2230"/>
      <c r="U38" s="1039"/>
      <c r="V38" s="2124" t="s">
        <v>494</v>
      </c>
      <c r="W38" s="2148"/>
      <c r="X38" s="2315" t="s">
        <v>453</v>
      </c>
      <c r="Y38" s="2334"/>
      <c r="Z38" s="2334"/>
      <c r="AA38" s="2230"/>
      <c r="AB38" s="2229"/>
      <c r="AC38" s="2229"/>
      <c r="AD38" s="2124" t="s">
        <v>494</v>
      </c>
      <c r="AE38" s="2148"/>
      <c r="AF38" s="2334" t="s">
        <v>453</v>
      </c>
      <c r="AG38" s="2334"/>
      <c r="AH38" s="2335"/>
      <c r="AI38" s="2299"/>
      <c r="AJ38" s="2302"/>
      <c r="AK38" s="2148"/>
      <c r="AQ38" s="1639">
        <v>34</v>
      </c>
    </row>
    <row customHeight="1" ht="14.699999999999998">
      <c r="Q39" s="299"/>
      <c r="R39" s="384"/>
      <c r="S39" s="2294"/>
      <c r="T39" s="2230"/>
      <c r="U39" s="1039"/>
      <c r="V39" s="2361" t="str">
        <f>IF($AD$39&lt;&gt;"",$AD$39,"")</f>
        <v/>
      </c>
      <c r="W39" s="2361"/>
      <c r="X39" s="2316"/>
      <c r="Y39" s="2336"/>
      <c r="Z39" s="2336"/>
      <c r="AA39" s="2230"/>
      <c r="AB39" s="2229"/>
      <c r="AC39" s="2229"/>
      <c r="AD39" s="2377"/>
      <c r="AE39" s="2360"/>
      <c r="AF39" s="2336"/>
      <c r="AG39" s="2336"/>
      <c r="AH39" s="2337"/>
      <c r="AI39" s="2299"/>
      <c r="AJ39" s="2302"/>
      <c r="AK39" s="2148"/>
      <c r="AQ39" s="1639">
        <v>14</v>
      </c>
    </row>
    <row customHeight="1" ht="14.699999999999998">
      <c r="A40" s="1274"/>
      <c r="B40" s="1274" t="s">
        <v>154</v>
      </c>
      <c r="C40" s="1274" t="s">
        <v>155</v>
      </c>
      <c r="D40" s="1274" t="s">
        <v>156</v>
      </c>
      <c r="E40" s="1318" t="s">
        <v>454</v>
      </c>
      <c r="F40" s="1318" t="s">
        <v>455</v>
      </c>
      <c r="G40" s="1318" t="s">
        <v>456</v>
      </c>
      <c r="H40" s="1318" t="s">
        <v>457</v>
      </c>
      <c r="I40" s="1318" t="s">
        <v>458</v>
      </c>
      <c r="J40" s="1318" t="s">
        <v>459</v>
      </c>
      <c r="K40" s="1318" t="s">
        <v>460</v>
      </c>
      <c r="L40" s="1318" t="s">
        <v>435</v>
      </c>
      <c r="Q40" s="299"/>
      <c r="R40" s="384"/>
      <c r="S40" s="2294"/>
      <c r="T40" s="2230"/>
      <c r="U40" s="310"/>
      <c r="V40" s="1955" t="s">
        <v>495</v>
      </c>
      <c r="W40" s="1955" t="s">
        <v>496</v>
      </c>
      <c r="X40" s="1943" t="s">
        <v>463</v>
      </c>
      <c r="Y40" s="2291" t="s">
        <v>464</v>
      </c>
      <c r="Z40" s="2341"/>
      <c r="AA40" s="2230"/>
      <c r="AB40" s="2229"/>
      <c r="AC40" s="2229"/>
      <c r="AD40" s="1973" t="s">
        <v>495</v>
      </c>
      <c r="AE40" s="1964" t="s">
        <v>496</v>
      </c>
      <c r="AF40" s="1943" t="s">
        <v>463</v>
      </c>
      <c r="AG40" s="2291" t="s">
        <v>464</v>
      </c>
      <c r="AH40" s="2292"/>
      <c r="AI40" s="2300"/>
      <c r="AJ40" s="2303"/>
      <c r="AK40" s="2148"/>
      <c r="AQ40" s="1639">
        <v>14</v>
      </c>
    </row>
    <row s="1649" customFormat="1" customHeight="1" ht="11.25" hidden="1">
      <c r="A41" s="1274"/>
      <c r="B41" s="1274"/>
      <c r="C41" s="1274"/>
      <c r="D41" s="1274"/>
      <c r="E41" s="1274"/>
      <c r="F41" s="1274"/>
      <c r="G41" s="1274"/>
      <c r="H41" s="1274"/>
      <c r="I41" s="1274"/>
      <c r="J41" s="1274"/>
      <c r="K41" s="1274"/>
      <c r="L41" s="1318"/>
      <c r="M41" s="1970"/>
      <c r="N41" s="1970"/>
      <c r="O41" s="1970"/>
      <c r="P41" s="518"/>
      <c r="Q41" s="1262"/>
      <c r="R41" s="1262">
        <v>1</v>
      </c>
      <c r="S41" s="1285" t="s">
        <v>118</v>
      </c>
      <c r="T41" s="1263" t="s">
        <v>102</v>
      </c>
      <c r="U41" s="1253" t="str">
        <f>OFFSET(U41,0,-1)</f>
        <v>2</v>
      </c>
      <c r="V41" s="1961">
        <f>OFFSET(V41,0,-1)+1</f>
        <v>3</v>
      </c>
      <c r="W41" s="1961">
        <f>OFFSET(W41,0,-1)+1</f>
        <v>4</v>
      </c>
      <c r="X41" s="1961">
        <f>OFFSET(X41,0,-1)+1</f>
        <v>5</v>
      </c>
      <c r="Y41" s="2293">
        <f>OFFSET(Y41,0,-1)+1</f>
        <v>6</v>
      </c>
      <c r="Z41" s="2293"/>
      <c r="AA41" s="1349">
        <f>OFFSET(AA41,0,-2)+1</f>
        <v>7</v>
      </c>
      <c r="AB41" s="1349"/>
      <c r="AC41" s="1349"/>
      <c r="AD41" s="1961">
        <f>OFFSET(AD41,0,-1)+1</f>
        <v>1</v>
      </c>
      <c r="AE41" s="1961">
        <f>OFFSET(AE41,0,-1)+1</f>
        <v>2</v>
      </c>
      <c r="AF41" s="1961">
        <f>OFFSET(AF41,0,-1)+1</f>
        <v>3</v>
      </c>
      <c r="AG41" s="2293">
        <f>OFFSET(AG41,0,-1)+1</f>
        <v>4</v>
      </c>
      <c r="AH41" s="2293"/>
      <c r="AI41" s="1961">
        <f>OFFSET(AI41,0,-2)+1</f>
        <v>5</v>
      </c>
      <c r="AJ41" s="1253">
        <f>OFFSET(AJ41,0,-1)</f>
        <v>5</v>
      </c>
      <c r="AK41" s="1961">
        <f>OFFSET(AK41,0,-1)+1</f>
        <v>6</v>
      </c>
      <c r="AL41" s="1644"/>
      <c r="AM41" s="1644"/>
      <c r="AN41" s="1644"/>
      <c r="AO41" s="1644"/>
      <c r="AP41" s="1644"/>
      <c r="AQ41" s="1649">
        <v>0</v>
      </c>
    </row>
    <row customHeight="1" ht="107.25">
      <c r="A42" s="1275" t="s">
        <v>223</v>
      </c>
      <c r="B42" s="1275"/>
      <c r="C42" s="1275"/>
      <c r="D42" s="1275"/>
      <c r="E42" s="2310">
        <v>1</v>
      </c>
      <c r="F42" s="1275"/>
      <c r="G42" s="1275"/>
      <c r="H42" s="1275"/>
      <c r="I42" s="1275"/>
      <c r="J42" s="1275"/>
      <c r="K42" s="1275"/>
      <c r="L42" s="1318"/>
      <c r="M42" s="1618"/>
      <c r="N42" s="1618"/>
      <c r="O42" s="1618"/>
      <c r="P42" s="1417"/>
      <c r="Q42" s="881"/>
      <c r="R42" s="363"/>
      <c r="S42" s="1963">
        <f>INDEX(PT_DIFFERENTIATION_NUM_NTAR,MATCH(A42,PT_DIFFERENTIATION_NTAR_ID,0))</f>
        <v>0</v>
      </c>
      <c r="T42" s="1533" t="s">
        <v>142</v>
      </c>
      <c r="U42" s="308"/>
      <c r="V42" s="2264"/>
      <c r="W42" s="2264"/>
      <c r="X42" s="2264"/>
      <c r="Y42" s="2264"/>
      <c r="Z42" s="2264"/>
      <c r="AA42" s="2265"/>
      <c r="AB42" s="1957"/>
      <c r="AC42" s="2264" t="str">
        <f>INDEX(PT_DIFFERENTIATION_NTAR,MATCH(A42,PT_DIFFERENTIATION_NTAR_ID,0))</f>
        <v/>
      </c>
      <c r="AD42" s="2264"/>
      <c r="AE42" s="2264"/>
      <c r="AF42" s="2264"/>
      <c r="AG42" s="2264"/>
      <c r="AH42" s="2264"/>
      <c r="AI42" s="2264"/>
      <c r="AJ42" s="2265"/>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223</v>
      </c>
      <c r="B43" s="1275" t="s">
        <v>224</v>
      </c>
      <c r="C43" s="1275"/>
      <c r="D43" s="1275"/>
      <c r="E43" s="2311"/>
      <c r="F43" s="2310">
        <v>1</v>
      </c>
      <c r="G43" s="1275"/>
      <c r="H43" s="1275"/>
      <c r="I43" s="1275"/>
      <c r="J43" s="1275"/>
      <c r="K43" s="1275"/>
      <c r="L43" s="1318"/>
      <c r="M43" s="1618"/>
      <c r="N43" s="1618"/>
      <c r="O43" s="1618"/>
      <c r="P43" s="1974"/>
      <c r="Q43" s="1419"/>
      <c r="R43" s="361"/>
      <c r="S43" s="1963" t="str">
        <f>INDEX(PT_DIFFERENTIATION_NUM_TER,MATCH(B43,PT_DIFFERENTIATION_TER_ID,0))</f>
        <v>.</v>
      </c>
      <c r="T43" s="1530" t="s">
        <v>414</v>
      </c>
      <c r="U43" s="308"/>
      <c r="V43" s="2264"/>
      <c r="W43" s="2264"/>
      <c r="X43" s="2264"/>
      <c r="Y43" s="2264"/>
      <c r="Z43" s="2264"/>
      <c r="AA43" s="2265"/>
      <c r="AB43" s="1957"/>
      <c r="AC43" s="2264" t="str">
        <f>INDEX(PT_DIFFERENTIATION_TER,MATCH(B43,PT_DIFFERENTIATION_TER_ID,0))</f>
        <v/>
      </c>
      <c r="AD43" s="2264"/>
      <c r="AE43" s="2264"/>
      <c r="AF43" s="2264"/>
      <c r="AG43" s="2264"/>
      <c r="AH43" s="2264"/>
      <c r="AI43" s="2264"/>
      <c r="AJ43" s="2265"/>
      <c r="AK43" s="1266" t="s">
        <v>415</v>
      </c>
      <c r="AM43" s="1632"/>
      <c r="AN43" s="1632" t="str">
        <f>IF(T43="","",T43)</f>
        <v>Территория действия тарифа</v>
      </c>
      <c r="AO43" s="1632"/>
      <c r="AP43" s="1632"/>
      <c r="AQ43" s="1639">
        <v>21</v>
      </c>
    </row>
    <row customHeight="1" ht="24">
      <c r="A44" s="1275" t="s">
        <v>223</v>
      </c>
      <c r="B44" s="1275" t="s">
        <v>224</v>
      </c>
      <c r="C44" s="1275" t="s">
        <v>225</v>
      </c>
      <c r="D44" s="1275"/>
      <c r="E44" s="2311"/>
      <c r="F44" s="2311"/>
      <c r="G44" s="2310">
        <v>1</v>
      </c>
      <c r="H44" s="1275"/>
      <c r="I44" s="1275"/>
      <c r="J44" s="1275"/>
      <c r="K44" s="1275"/>
      <c r="L44" s="1318"/>
      <c r="M44" s="1618"/>
      <c r="N44" s="1618"/>
      <c r="O44" s="1618"/>
      <c r="P44" s="1420"/>
      <c r="Q44" s="1419"/>
      <c r="R44" s="361"/>
      <c r="S44" s="1963" t="str">
        <f>INDEX(PT_DIFFERENTIATION_NUM_CS,MATCH(C44,PT_DIFFERENTIATION_CS_ID,0))</f>
        <v>..</v>
      </c>
      <c r="T44" s="317" t="s">
        <v>416</v>
      </c>
      <c r="U44" s="308"/>
      <c r="V44" s="2264"/>
      <c r="W44" s="2264"/>
      <c r="X44" s="2264"/>
      <c r="Y44" s="2264"/>
      <c r="Z44" s="2264"/>
      <c r="AA44" s="2265"/>
      <c r="AB44" s="1957"/>
      <c r="AC44" s="2264" t="str">
        <f>INDEX(PT_DIFFERENTIATION_CS,MATCH(C44,PT_DIFFERENTIATION_CS_ID,0))</f>
        <v/>
      </c>
      <c r="AD44" s="2264"/>
      <c r="AE44" s="2264"/>
      <c r="AF44" s="2264"/>
      <c r="AG44" s="2264"/>
      <c r="AH44" s="2264"/>
      <c r="AI44" s="2264"/>
      <c r="AJ44" s="2265"/>
      <c r="AK44" s="1266" t="s">
        <v>417</v>
      </c>
      <c r="AM44" s="1632"/>
      <c r="AN44" s="1632" t="str">
        <f>IF(T44="","",T44)</f>
        <v>Наименование системы теплоснабжения </v>
      </c>
      <c r="AO44" s="1632"/>
      <c r="AP44" s="1632"/>
      <c r="AQ44" s="1639">
        <v>23</v>
      </c>
    </row>
    <row customHeight="1" ht="22.049999999999997">
      <c r="A45" s="1275" t="s">
        <v>223</v>
      </c>
      <c r="B45" s="1275" t="s">
        <v>224</v>
      </c>
      <c r="C45" s="1275" t="s">
        <v>225</v>
      </c>
      <c r="D45" s="1275" t="s">
        <v>226</v>
      </c>
      <c r="E45" s="2311"/>
      <c r="F45" s="2311"/>
      <c r="G45" s="2311"/>
      <c r="H45" s="2310">
        <v>1</v>
      </c>
      <c r="I45" s="1275"/>
      <c r="J45" s="1275"/>
      <c r="K45" s="1275"/>
      <c r="L45" s="1318"/>
      <c r="M45" s="1618"/>
      <c r="N45" s="1618"/>
      <c r="O45" s="1618"/>
      <c r="P45" s="1420"/>
      <c r="Q45" s="1419"/>
      <c r="R45" s="361"/>
      <c r="S45" s="1963" t="str">
        <f>INDEX(PT_DIFFERENTIATION_NUM_IST_TE,MATCH(D45,PT_DIFFERENTIATION_IST_TE_ID,0))</f>
        <v>...</v>
      </c>
      <c r="T45" s="318" t="s">
        <v>418</v>
      </c>
      <c r="U45" s="308"/>
      <c r="V45" s="2264"/>
      <c r="W45" s="2264"/>
      <c r="X45" s="2264"/>
      <c r="Y45" s="2264"/>
      <c r="Z45" s="2264"/>
      <c r="AA45" s="2265"/>
      <c r="AB45" s="1957"/>
      <c r="AC45" s="2264" t="str">
        <f>INDEX(PT_DIFFERENTIATION_IST_TE,MATCH(D45,PT_DIFFERENTIATION_IST_TE_ID,0))</f>
        <v/>
      </c>
      <c r="AD45" s="2264"/>
      <c r="AE45" s="2264"/>
      <c r="AF45" s="2264"/>
      <c r="AG45" s="2264"/>
      <c r="AH45" s="2264"/>
      <c r="AI45" s="2264"/>
      <c r="AJ45" s="2265"/>
      <c r="AK45" s="1266" t="s">
        <v>419</v>
      </c>
      <c r="AM45" s="1632"/>
      <c r="AN45" s="1632" t="str">
        <f>IF(T45="","",T45)</f>
        <v>Источник тепловой энергии  </v>
      </c>
      <c r="AO45" s="1632"/>
      <c r="AP45" s="1632"/>
      <c r="AQ45" s="1639">
        <v>21</v>
      </c>
    </row>
    <row s="1650" customFormat="1" customHeight="1" ht="0">
      <c r="A46" s="1383" t="s">
        <v>223</v>
      </c>
      <c r="B46" s="1383" t="s">
        <v>224</v>
      </c>
      <c r="C46" s="1383" t="s">
        <v>225</v>
      </c>
      <c r="D46" s="1383" t="s">
        <v>226</v>
      </c>
      <c r="E46" s="2311"/>
      <c r="F46" s="2311"/>
      <c r="G46" s="2311"/>
      <c r="H46" s="2311"/>
      <c r="I46" s="2148" t="str">
        <f>S45&amp;".1"</f>
        <v>....1</v>
      </c>
      <c r="J46" s="1383"/>
      <c r="K46" s="1383"/>
      <c r="L46" s="1389" t="s">
        <v>420</v>
      </c>
      <c r="M46" s="1254"/>
      <c r="N46" s="1254"/>
      <c r="O46" s="1254"/>
      <c r="P46" s="2278">
        <v>1</v>
      </c>
      <c r="Q46" s="1959"/>
      <c r="R46" s="364"/>
      <c r="S46" s="1050"/>
      <c r="T46" s="1391"/>
      <c r="U46" s="1392"/>
      <c r="V46" s="2318"/>
      <c r="W46" s="2318"/>
      <c r="X46" s="2318"/>
      <c r="Y46" s="2318"/>
      <c r="Z46" s="2318"/>
      <c r="AA46" s="2319"/>
      <c r="AB46" s="1965"/>
      <c r="AC46" s="2318"/>
      <c r="AD46" s="2318"/>
      <c r="AE46" s="2318"/>
      <c r="AF46" s="2318"/>
      <c r="AG46" s="2318"/>
      <c r="AH46" s="2318"/>
      <c r="AI46" s="2318"/>
      <c r="AJ46" s="2319"/>
      <c r="AK46" s="1393"/>
      <c r="AM46" s="1632"/>
      <c r="AN46" s="1632" t="str">
        <f>IF(T46="","",T46)</f>
        <v/>
      </c>
      <c r="AO46" s="1632"/>
      <c r="AP46" s="1632"/>
      <c r="AQ46" s="1644">
        <v>0</v>
      </c>
    </row>
    <row s="1650" customFormat="1" customHeight="1" ht="0">
      <c r="A47" s="1383" t="s">
        <v>223</v>
      </c>
      <c r="B47" s="1383" t="s">
        <v>224</v>
      </c>
      <c r="C47" s="1383" t="s">
        <v>225</v>
      </c>
      <c r="D47" s="1383" t="s">
        <v>226</v>
      </c>
      <c r="E47" s="2311"/>
      <c r="F47" s="2311"/>
      <c r="G47" s="2311"/>
      <c r="H47" s="2311"/>
      <c r="I47" s="2122"/>
      <c r="J47" s="2148" t="str">
        <f>S45&amp;".1"</f>
        <v>....1</v>
      </c>
      <c r="K47" s="1383"/>
      <c r="L47" s="1389"/>
      <c r="M47" s="1254"/>
      <c r="N47" s="1254"/>
      <c r="O47" s="1254"/>
      <c r="P47" s="2278"/>
      <c r="Q47" s="2278">
        <v>1</v>
      </c>
      <c r="R47" s="365"/>
      <c r="S47" s="1050"/>
      <c r="T47" s="1407"/>
      <c r="U47" s="1392"/>
      <c r="V47" s="2318"/>
      <c r="W47" s="2318"/>
      <c r="X47" s="2318"/>
      <c r="Y47" s="2318"/>
      <c r="Z47" s="2318"/>
      <c r="AA47" s="2319"/>
      <c r="AB47" s="1965"/>
      <c r="AC47" s="2318"/>
      <c r="AD47" s="2318"/>
      <c r="AE47" s="2318"/>
      <c r="AF47" s="2318"/>
      <c r="AG47" s="2318"/>
      <c r="AH47" s="2318"/>
      <c r="AI47" s="2318"/>
      <c r="AJ47" s="2319"/>
      <c r="AK47" s="1393"/>
      <c r="AM47" s="1632"/>
      <c r="AN47" s="1632" t="str">
        <f>IF(T47="","",T47)</f>
        <v/>
      </c>
      <c r="AO47" s="1632"/>
      <c r="AP47" s="1632"/>
      <c r="AQ47" s="1644">
        <v>0</v>
      </c>
    </row>
    <row customHeight="1" ht="22.049999999999997">
      <c r="A48" s="1275" t="s">
        <v>223</v>
      </c>
      <c r="B48" s="1275" t="s">
        <v>224</v>
      </c>
      <c r="C48" s="1275" t="s">
        <v>225</v>
      </c>
      <c r="D48" s="1275" t="s">
        <v>226</v>
      </c>
      <c r="E48" s="2311"/>
      <c r="F48" s="2311"/>
      <c r="G48" s="2311"/>
      <c r="H48" s="2311"/>
      <c r="I48" s="2122"/>
      <c r="J48" s="2122"/>
      <c r="K48" s="1946" t="str">
        <f>S45&amp;".1"</f>
        <v>....1</v>
      </c>
      <c r="L48" s="1318"/>
      <c r="P48" s="2278"/>
      <c r="Q48" s="2278"/>
      <c r="R48" s="365">
        <v>1</v>
      </c>
      <c r="S48" s="1967" t="str">
        <f>$K48</f>
        <v>....1</v>
      </c>
      <c r="T48" s="1966"/>
      <c r="U48" s="308"/>
      <c r="V48" s="759"/>
      <c r="W48" s="1265"/>
      <c r="X48" s="1960"/>
      <c r="Y48" s="1947" t="s">
        <v>61</v>
      </c>
      <c r="Z48" s="1960"/>
      <c r="AA48" s="1947" t="s">
        <v>61</v>
      </c>
      <c r="AB48" s="1969"/>
      <c r="AC48" s="1968" t="s">
        <v>22</v>
      </c>
      <c r="AD48" s="759"/>
      <c r="AE48" s="1265"/>
      <c r="AF48" s="1960"/>
      <c r="AG48" s="1947" t="s">
        <v>61</v>
      </c>
      <c r="AH48" s="1960"/>
      <c r="AI48" s="1947" t="s">
        <v>61</v>
      </c>
      <c r="AJ48" s="1356"/>
      <c r="AK48" s="2274" t="s">
        <v>497</v>
      </c>
      <c r="AL48" s="1644">
        <f>STRCHECKDATE(#REF!)</f>
      </c>
      <c r="AM48" s="1632"/>
      <c r="AN48" s="1632" t="str">
        <f>IF(T48="","",T48)</f>
        <v/>
      </c>
      <c r="AO48" s="1632"/>
      <c r="AP48" s="1632"/>
      <c r="AQ48" s="1639">
        <v>21</v>
      </c>
    </row>
    <row customHeight="1" ht="11.549999999999999">
      <c r="A49" s="1275" t="s">
        <v>223</v>
      </c>
      <c r="B49" s="1275" t="s">
        <v>224</v>
      </c>
      <c r="C49" s="1275" t="s">
        <v>225</v>
      </c>
      <c r="D49" s="1275" t="s">
        <v>226</v>
      </c>
      <c r="E49" s="2311"/>
      <c r="F49" s="2311"/>
      <c r="G49" s="2311"/>
      <c r="H49" s="2311"/>
      <c r="I49" s="2122"/>
      <c r="J49" s="2148"/>
      <c r="K49" s="1275"/>
      <c r="L49" s="1318"/>
      <c r="P49" s="2278"/>
      <c r="Q49" s="2278"/>
      <c r="R49" s="364"/>
      <c r="S49" s="1286"/>
      <c r="T49" s="295" t="s">
        <v>485</v>
      </c>
      <c r="U49" s="608"/>
      <c r="V49" s="608"/>
      <c r="W49" s="608"/>
      <c r="X49" s="608"/>
      <c r="Y49" s="608"/>
      <c r="Z49" s="608"/>
      <c r="AA49" s="332"/>
      <c r="AB49" s="608"/>
      <c r="AC49" s="608"/>
      <c r="AD49" s="608"/>
      <c r="AE49" s="608"/>
      <c r="AF49" s="608"/>
      <c r="AG49" s="608"/>
      <c r="AH49" s="608"/>
      <c r="AI49" s="608"/>
      <c r="AJ49" s="332"/>
      <c r="AK49" s="2276"/>
      <c r="AM49" s="1632"/>
      <c r="AN49" s="1632" t="str">
        <f>IF(T49="","",T49)</f>
        <v>Добавить строку</v>
      </c>
      <c r="AO49" s="1632"/>
      <c r="AP49" s="1632"/>
      <c r="AQ49" s="1639">
        <v>11</v>
      </c>
    </row>
    <row s="1650" customFormat="1" customHeight="1" ht="1.05">
      <c r="A50" s="1383" t="s">
        <v>223</v>
      </c>
      <c r="B50" s="1383" t="s">
        <v>224</v>
      </c>
      <c r="C50" s="1383" t="s">
        <v>225</v>
      </c>
      <c r="D50" s="1383" t="s">
        <v>226</v>
      </c>
      <c r="E50" s="2311"/>
      <c r="F50" s="2311"/>
      <c r="G50" s="2311"/>
      <c r="H50" s="2311"/>
      <c r="I50" s="2148"/>
      <c r="J50" s="1383"/>
      <c r="K50" s="1383"/>
      <c r="L50" s="1389"/>
      <c r="M50" s="1254"/>
      <c r="N50" s="1254"/>
      <c r="O50" s="1254"/>
      <c r="P50" s="2278"/>
      <c r="Q50" s="1959"/>
      <c r="R50" s="364"/>
      <c r="S50" s="1394"/>
      <c r="T50" s="1395" t="s">
        <v>429</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223</v>
      </c>
      <c r="B51" s="1383" t="s">
        <v>224</v>
      </c>
      <c r="C51" s="1383" t="s">
        <v>225</v>
      </c>
      <c r="D51" s="1383" t="s">
        <v>226</v>
      </c>
      <c r="E51" s="2311"/>
      <c r="F51" s="2311"/>
      <c r="G51" s="2311"/>
      <c r="H51" s="2310"/>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223</v>
      </c>
      <c r="B52" s="1383" t="s">
        <v>224</v>
      </c>
      <c r="C52" s="1383" t="s">
        <v>225</v>
      </c>
      <c r="D52" s="1382"/>
      <c r="E52" s="2311"/>
      <c r="F52" s="2311"/>
      <c r="G52" s="2310"/>
      <c r="H52" s="1382"/>
      <c r="I52" s="1382"/>
      <c r="J52" s="1382"/>
      <c r="K52" s="1382"/>
      <c r="L52" s="1385"/>
      <c r="M52" s="1386"/>
      <c r="N52" s="1386"/>
      <c r="O52" s="359"/>
      <c r="P52" s="1324"/>
      <c r="Q52" s="1325"/>
      <c r="R52" s="1324"/>
      <c r="S52" s="1330"/>
      <c r="T52" s="1333" t="s">
        <v>431</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223</v>
      </c>
      <c r="B53" s="1383" t="s">
        <v>224</v>
      </c>
      <c r="C53" s="1382"/>
      <c r="D53" s="1382"/>
      <c r="E53" s="2311"/>
      <c r="F53" s="2310"/>
      <c r="G53" s="1382"/>
      <c r="H53" s="1382"/>
      <c r="I53" s="1382"/>
      <c r="J53" s="1382"/>
      <c r="K53" s="1382"/>
      <c r="L53" s="1385"/>
      <c r="M53" s="1387"/>
      <c r="N53" s="1387"/>
      <c r="O53" s="359"/>
      <c r="P53" s="1324"/>
      <c r="Q53" s="1325"/>
      <c r="R53" s="1324"/>
      <c r="S53" s="1330"/>
      <c r="T53" s="1333" t="s">
        <v>432</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223</v>
      </c>
      <c r="B54" s="1383"/>
      <c r="C54" s="1383"/>
      <c r="D54" s="1383"/>
      <c r="E54" s="2311"/>
      <c r="F54" s="1383"/>
      <c r="G54" s="1383"/>
      <c r="H54" s="1383"/>
      <c r="I54" s="1383"/>
      <c r="J54" s="1383"/>
      <c r="K54" s="1383"/>
      <c r="L54" s="1389"/>
      <c r="M54" s="1387"/>
      <c r="N54" s="1387"/>
      <c r="O54" s="359"/>
      <c r="P54" s="388"/>
      <c r="Q54" s="1352"/>
      <c r="R54" s="388"/>
      <c r="S54" s="1330"/>
      <c r="T54" s="1333" t="s">
        <v>433</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223</v>
      </c>
      <c r="B55" s="1383"/>
      <c r="C55" s="1383"/>
      <c r="D55" s="1383"/>
      <c r="E55" s="2310"/>
      <c r="F55" s="1383"/>
      <c r="G55" s="1383"/>
      <c r="H55" s="1383"/>
      <c r="I55" s="1383"/>
      <c r="J55" s="1383"/>
      <c r="K55" s="1383"/>
      <c r="L55" s="1389"/>
      <c r="M55" s="1387"/>
      <c r="N55" s="1387"/>
      <c r="O55" s="359"/>
      <c r="P55" s="388"/>
      <c r="Q55" s="1352"/>
      <c r="R55" s="388"/>
      <c r="S55" s="1330"/>
      <c r="T55" s="1333" t="s">
        <v>433</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465</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306"/>
      <c r="U58" s="2306"/>
      <c r="V58" s="2306"/>
      <c r="W58" s="2306"/>
      <c r="X58" s="2306"/>
      <c r="Y58" s="2306"/>
      <c r="Z58" s="2306"/>
      <c r="AA58" s="2306"/>
      <c r="AB58" s="2306"/>
      <c r="AC58" s="2306"/>
      <c r="AD58" s="2306"/>
      <c r="AE58" s="2306"/>
      <c r="AF58" s="2306"/>
      <c r="AG58" s="2306"/>
      <c r="AH58" s="2306"/>
      <c r="AI58" s="2306"/>
      <c r="AJ58" s="2306"/>
      <c r="AK58" s="2306"/>
      <c r="AQ58" s="1639">
        <v>19</v>
      </c>
    </row>
    <row customHeight="1" ht="21">
      <c r="O59" s="1643"/>
      <c r="T59" s="2306"/>
      <c r="U59" s="2306"/>
      <c r="V59" s="2306"/>
      <c r="W59" s="2306"/>
      <c r="X59" s="2306"/>
      <c r="Y59" s="2306"/>
      <c r="Z59" s="2306"/>
      <c r="AA59" s="2306"/>
      <c r="AB59" s="2306"/>
      <c r="AC59" s="2306"/>
      <c r="AD59" s="2306"/>
      <c r="AE59" s="2306"/>
      <c r="AF59" s="2306"/>
      <c r="AG59" s="2306"/>
      <c r="AH59" s="2306"/>
      <c r="AI59" s="2306"/>
      <c r="AJ59" s="2306"/>
      <c r="AK59" s="2306"/>
      <c r="AQ59" s="1639">
        <v>20</v>
      </c>
    </row>
    <row customHeight="1" ht="14.699999999999998">
      <c r="O60" s="1643"/>
      <c r="T60" s="1958"/>
      <c r="U60" s="1958"/>
      <c r="V60" s="1958"/>
      <c r="W60" s="1958"/>
      <c r="X60" s="1958"/>
      <c r="Y60" s="1958"/>
      <c r="Z60" s="1958"/>
      <c r="AA60" s="1958"/>
      <c r="AB60" s="1958"/>
      <c r="AC60" s="1958"/>
      <c r="AD60" s="1958"/>
      <c r="AE60" s="1958"/>
      <c r="AF60" s="1958"/>
      <c r="AG60" s="1958"/>
      <c r="AH60" s="1958"/>
      <c r="AI60" s="1958"/>
      <c r="AJ60" s="1958"/>
      <c r="AK60" s="1958"/>
      <c r="AQ60" s="1639">
        <v>14</v>
      </c>
    </row>
    <row customHeight="1" ht="19.95">
      <c r="O61" s="1643"/>
      <c r="T61" s="2306"/>
      <c r="U61" s="2306"/>
      <c r="V61" s="2306"/>
      <c r="W61" s="2306"/>
      <c r="X61" s="2306"/>
      <c r="Y61" s="2306"/>
      <c r="Z61" s="2306"/>
      <c r="AA61" s="2306"/>
      <c r="AB61" s="2306"/>
      <c r="AC61" s="2306"/>
      <c r="AD61" s="2306"/>
      <c r="AE61" s="2306"/>
      <c r="AF61" s="2306"/>
      <c r="AG61" s="2306"/>
      <c r="AH61" s="2306"/>
      <c r="AI61" s="2306"/>
      <c r="AJ61" s="2306"/>
      <c r="AK61" s="2306"/>
      <c r="AQ61" s="1639">
        <v>19</v>
      </c>
    </row>
    <row customHeight="1" ht="16.8">
      <c r="O62" s="1643"/>
      <c r="T62" s="2306"/>
      <c r="U62" s="2306"/>
      <c r="V62" s="2306"/>
      <c r="W62" s="2306"/>
      <c r="X62" s="2306"/>
      <c r="Y62" s="2306"/>
      <c r="Z62" s="2306"/>
      <c r="AA62" s="2306"/>
      <c r="AB62" s="2306"/>
      <c r="AC62" s="2306"/>
      <c r="AD62" s="2306"/>
      <c r="AE62" s="2306"/>
      <c r="AF62" s="2306"/>
      <c r="AG62" s="2306"/>
      <c r="AH62" s="2306"/>
      <c r="AI62" s="2306"/>
      <c r="AJ62" s="2306"/>
      <c r="AK62" s="2306"/>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4">
        <v>0</v>
      </c>
      <c r="M64" s="1970">
        <v>0</v>
      </c>
      <c r="N64" s="1970">
        <v>0</v>
      </c>
      <c r="O64" s="1970">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7BF88-7AF6-D518-8D47-86EE077B92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473">
        <f>INDEX(PT_DIFFERENTIATION_NUM_NTAR,MATCH(A2,PT_DIFFERENTIATION_NTAR_ID,0))</f>
      </c>
      <c r="T2" s="306" t="s">
        <v>142</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473">
        <f>INDEX(PT_DIFFERENTIATION_NUM_TER,MATCH(B3,PT_DIFFERENTIATION_TER_ID,0))</f>
      </c>
      <c r="T3" s="316" t="s">
        <v>414</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415</v>
      </c>
      <c r="BE3" s="508"/>
      <c r="BF3" s="508" t="str">
        <f>IF(T3="","",T3)</f>
        <v>Территория действия тарифа</v>
      </c>
      <c r="BG3" s="508"/>
      <c r="BH3" s="508"/>
      <c r="BI3" s="1163">
        <v>0</v>
      </c>
    </row>
    <row customHeight="1" ht="42" hidden="1">
      <c r="A4" s="1371"/>
      <c r="B4" s="1371"/>
      <c r="C4" s="1371"/>
      <c r="D4" s="1371"/>
      <c r="E4" s="2280"/>
      <c r="F4" s="2280"/>
      <c r="G4" s="2279">
        <v>1</v>
      </c>
      <c r="H4" s="1371"/>
      <c r="I4" s="1371"/>
      <c r="J4" s="1371"/>
      <c r="K4" s="1371"/>
      <c r="L4" s="1372"/>
      <c r="M4" s="1373"/>
      <c r="N4" s="1373"/>
      <c r="O4" s="1373"/>
      <c r="P4" s="1420"/>
      <c r="Q4" s="1419"/>
      <c r="R4" s="361"/>
      <c r="S4" s="1473">
        <f>INDEX(PT_DIFFERENTIATION_NUM_CS,MATCH(C4,PT_DIFFERENTIATION_CS_ID,0))</f>
      </c>
      <c r="T4" s="317" t="s">
        <v>498</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499</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419</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420</v>
      </c>
      <c r="M6" s="518"/>
      <c r="N6" s="518"/>
      <c r="O6" s="518"/>
      <c r="P6" s="2278">
        <v>1</v>
      </c>
      <c r="Q6" s="1470"/>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67" t="s">
        <v>61</v>
      </c>
      <c r="AB8" s="1741"/>
      <c r="AC8" s="1467" t="s">
        <v>61</v>
      </c>
      <c r="AD8" s="2206" t="s">
        <v>61</v>
      </c>
      <c r="AE8" s="2347"/>
      <c r="AF8" s="2226">
        <v>1</v>
      </c>
      <c r="AG8" s="2384"/>
      <c r="AH8" s="2128" t="s">
        <v>61</v>
      </c>
      <c r="AI8" s="2347"/>
      <c r="AJ8" s="2226">
        <v>1</v>
      </c>
      <c r="AK8" s="2348" t="s">
        <v>22</v>
      </c>
      <c r="AL8" s="2128" t="s">
        <v>61</v>
      </c>
      <c r="AM8" s="2213"/>
      <c r="AN8" s="2226">
        <v>1</v>
      </c>
      <c r="AO8" s="2378"/>
      <c r="AP8" s="2379" t="s">
        <v>61</v>
      </c>
      <c r="AQ8" s="319"/>
      <c r="AR8" s="1471">
        <v>1</v>
      </c>
      <c r="AS8" s="1474" t="s">
        <v>22</v>
      </c>
      <c r="AT8" s="759"/>
      <c r="AU8" s="1265"/>
      <c r="AV8" s="759"/>
      <c r="AW8" s="1265"/>
      <c r="AX8" s="1741"/>
      <c r="AY8" s="1467" t="s">
        <v>61</v>
      </c>
      <c r="AZ8" s="1741"/>
      <c r="BA8" s="1467" t="s">
        <v>61</v>
      </c>
      <c r="BB8" s="1356"/>
      <c r="BC8" s="2274" t="s">
        <v>518</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519</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520</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521</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522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485</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472"/>
      <c r="M17" s="1329"/>
      <c r="N17" s="1329"/>
      <c r="P17" s="1324"/>
      <c r="Q17" s="1325"/>
      <c r="R17" s="1324"/>
      <c r="S17" s="1330"/>
      <c r="T17" s="1333" t="s">
        <v>432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433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68" t="s">
        <v>61</v>
      </c>
      <c r="AZ20" s="1743"/>
      <c r="BA20" s="1468" t="s">
        <v>61</v>
      </c>
      <c r="BI20" s="1163">
        <v>0</v>
      </c>
    </row>
    <row customHeight="1" ht="14.25" hidden="1">
      <c r="BD21" s="504"/>
      <c r="BE21" s="504"/>
      <c r="BF21" s="504"/>
      <c r="BG21" s="504"/>
      <c r="BH21" s="504"/>
      <c r="BI21" s="1163">
        <v>0</v>
      </c>
    </row>
    <row customHeight="1" ht="14.25" hidden="1">
      <c r="O22" s="1375" t="s">
        <v>434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435</v>
      </c>
      <c r="P24" s="1516"/>
      <c r="Q24" s="1518"/>
      <c r="R24" s="1518"/>
      <c r="AA24" s="1515" t="s">
        <v>437</v>
      </c>
      <c r="AC24" s="1515" t="s">
        <v>438</v>
      </c>
      <c r="AD24" s="1515" t="s">
        <v>486</v>
      </c>
      <c r="AH24" s="1515" t="s">
        <v>486</v>
      </c>
      <c r="AK24" s="1515" t="s">
        <v>523</v>
      </c>
      <c r="AL24" s="1515" t="s">
        <v>486</v>
      </c>
      <c r="AP24" s="1515" t="s">
        <v>486</v>
      </c>
      <c r="AY24" s="1515" t="s">
        <v>437</v>
      </c>
      <c r="BA24" s="1515" t="s">
        <v>438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АО "ДГК"</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440</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441</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440</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441</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444</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444</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317</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318</v>
      </c>
      <c r="BI40" s="1163">
        <v>14</v>
      </c>
    </row>
    <row customHeight="1" ht="14.699999999999998">
      <c r="Q41" s="299"/>
      <c r="R41" s="384"/>
      <c r="S41" s="2294" t="s">
        <v>88</v>
      </c>
      <c r="T41" s="2230" t="s">
        <v>524</v>
      </c>
      <c r="U41" s="309"/>
      <c r="V41" s="2295" t="s">
        <v>446</v>
      </c>
      <c r="W41" s="2296"/>
      <c r="X41" s="2296"/>
      <c r="Y41" s="2296"/>
      <c r="Z41" s="2296"/>
      <c r="AA41" s="2296"/>
      <c r="AB41" s="2297"/>
      <c r="AC41" s="2298" t="s">
        <v>447</v>
      </c>
      <c r="AD41" s="2349" t="s">
        <v>525</v>
      </c>
      <c r="AE41" s="2312"/>
      <c r="AF41" s="2312"/>
      <c r="AG41" s="2350"/>
      <c r="AH41" s="2349" t="s">
        <v>526</v>
      </c>
      <c r="AI41" s="2312"/>
      <c r="AJ41" s="2312"/>
      <c r="AK41" s="2350"/>
      <c r="AL41" s="2349" t="s">
        <v>527</v>
      </c>
      <c r="AM41" s="2312"/>
      <c r="AN41" s="2312"/>
      <c r="AO41" s="2350"/>
      <c r="AP41" s="2349" t="s">
        <v>528</v>
      </c>
      <c r="AQ41" s="2312"/>
      <c r="AR41" s="2312"/>
      <c r="AS41" s="2350"/>
      <c r="AT41" s="2295" t="s">
        <v>446</v>
      </c>
      <c r="AU41" s="2296"/>
      <c r="AV41" s="2296"/>
      <c r="AW41" s="2296"/>
      <c r="AX41" s="2296"/>
      <c r="AY41" s="2296"/>
      <c r="AZ41" s="2297"/>
      <c r="BA41" s="2298" t="s">
        <v>447</v>
      </c>
      <c r="BB41" s="2301" t="s">
        <v>449</v>
      </c>
      <c r="BC41" s="2148"/>
      <c r="BI41" s="1163">
        <v>14</v>
      </c>
    </row>
    <row customHeight="1" ht="35.699999999999996">
      <c r="Q42" s="299"/>
      <c r="R42" s="384"/>
      <c r="S42" s="2294"/>
      <c r="T42" s="2230"/>
      <c r="U42" s="1039"/>
      <c r="V42" s="2213" t="s">
        <v>529</v>
      </c>
      <c r="W42" s="2214"/>
      <c r="X42" s="2213" t="s">
        <v>530</v>
      </c>
      <c r="Y42" s="2214"/>
      <c r="Z42" s="2315" t="s">
        <v>531</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529</v>
      </c>
      <c r="AU42" s="2214"/>
      <c r="AV42" s="2213" t="s">
        <v>530</v>
      </c>
      <c r="AW42" s="2214"/>
      <c r="AX42" s="2315" t="s">
        <v>531</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154</v>
      </c>
      <c r="C44" s="1378" t="s">
        <v>155</v>
      </c>
      <c r="D44" s="1378" t="s">
        <v>156</v>
      </c>
      <c r="E44" s="1372" t="s">
        <v>454</v>
      </c>
      <c r="F44" s="1372" t="s">
        <v>455</v>
      </c>
      <c r="G44" s="1372" t="s">
        <v>456</v>
      </c>
      <c r="H44" s="1372" t="s">
        <v>457</v>
      </c>
      <c r="I44" s="1372" t="s">
        <v>458</v>
      </c>
      <c r="J44" s="1372" t="s">
        <v>459</v>
      </c>
      <c r="K44" s="1372" t="s">
        <v>460</v>
      </c>
      <c r="L44" s="1372" t="s">
        <v>435</v>
      </c>
      <c r="Q44" s="299"/>
      <c r="R44" s="384"/>
      <c r="S44" s="2294"/>
      <c r="T44" s="2230"/>
      <c r="U44" s="310"/>
      <c r="V44" s="1456" t="s">
        <v>495</v>
      </c>
      <c r="W44" s="1456" t="s">
        <v>496</v>
      </c>
      <c r="X44" s="1456" t="s">
        <v>495</v>
      </c>
      <c r="Y44" s="1456" t="s">
        <v>496</v>
      </c>
      <c r="Z44" s="1463" t="s">
        <v>463</v>
      </c>
      <c r="AA44" s="2291" t="s">
        <v>464</v>
      </c>
      <c r="AB44" s="2292"/>
      <c r="AC44" s="2300"/>
      <c r="AD44" s="2354"/>
      <c r="AE44" s="2355"/>
      <c r="AF44" s="2355"/>
      <c r="AG44" s="2356"/>
      <c r="AH44" s="2354"/>
      <c r="AI44" s="2355"/>
      <c r="AJ44" s="2355"/>
      <c r="AK44" s="2356"/>
      <c r="AL44" s="2354"/>
      <c r="AM44" s="2355"/>
      <c r="AN44" s="2355"/>
      <c r="AO44" s="2356"/>
      <c r="AP44" s="2354"/>
      <c r="AQ44" s="2355"/>
      <c r="AR44" s="2355"/>
      <c r="AS44" s="2356"/>
      <c r="AT44" s="1456" t="s">
        <v>495</v>
      </c>
      <c r="AU44" s="1456" t="s">
        <v>496</v>
      </c>
      <c r="AV44" s="1456" t="s">
        <v>495</v>
      </c>
      <c r="AW44" s="1456" t="s">
        <v>496</v>
      </c>
      <c r="AX44" s="1463" t="s">
        <v>463</v>
      </c>
      <c r="AY44" s="2291" t="s">
        <v>464</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59">
        <f>OFFSET(V45,0,-1)+1</f>
        <v>3</v>
      </c>
      <c r="W45" s="1459">
        <f>OFFSET(W45,0,-1)+1</f>
        <v>4</v>
      </c>
      <c r="X45" s="1459">
        <f>OFFSET(X45,0,-1)+1</f>
        <v>5</v>
      </c>
      <c r="Y45" s="1459">
        <f>OFFSET(Y45,0,-1)+1</f>
        <v>6</v>
      </c>
      <c r="Z45" s="1459">
        <f>OFFSET(Z45,0,-1)+1</f>
        <v>7</v>
      </c>
      <c r="AA45" s="2293">
        <f>OFFSET(AA45,0,-1)+1</f>
        <v>8</v>
      </c>
      <c r="AB45" s="2293"/>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93">
        <f>OFFSET(AY45,0,-1)+1</f>
        <v>3</v>
      </c>
      <c r="AZ45" s="2293"/>
      <c r="BA45" s="1459">
        <f>OFFSET(BA45,0,-2)+1</f>
        <v>4</v>
      </c>
      <c r="BB45" s="1253">
        <f>OFFSET(BB45,0,-1)</f>
        <v>4</v>
      </c>
      <c r="BC45" s="1459">
        <f>OFFSET(BC45,0,-1)+1</f>
        <v>5</v>
      </c>
      <c r="BD45" s="519"/>
      <c r="BE45" s="519"/>
      <c r="BF45" s="519"/>
      <c r="BG45" s="519"/>
      <c r="BH45" s="519"/>
      <c r="BI45" s="504">
        <v>0</v>
      </c>
    </row>
    <row customHeight="1" ht="22.049999999999997">
      <c r="A46" s="1371" t="s">
        <v>263</v>
      </c>
      <c r="B46" s="1371"/>
      <c r="C46" s="1371"/>
      <c r="D46" s="1371"/>
      <c r="E46" s="2279">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142</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263</v>
      </c>
      <c r="B47" s="1371" t="s">
        <v>264</v>
      </c>
      <c r="C47" s="1371"/>
      <c r="D47" s="1371"/>
      <c r="E47" s="2280"/>
      <c r="F47" s="2279">
        <v>1</v>
      </c>
      <c r="G47" s="1371"/>
      <c r="H47" s="1371"/>
      <c r="I47" s="1371"/>
      <c r="J47" s="1371"/>
      <c r="K47" s="1371"/>
      <c r="L47" s="1372"/>
      <c r="M47" s="1373"/>
      <c r="N47" s="1373"/>
      <c r="O47" s="1373"/>
      <c r="P47" s="1418"/>
      <c r="Q47" s="1419"/>
      <c r="R47" s="361"/>
      <c r="S47" s="1465" t="str">
        <f>INDEX(PT_DIFFERENTIATION_NUM_TER,MATCH(B47,PT_DIFFERENTIATION_TER_ID,0))</f>
        <v>.</v>
      </c>
      <c r="T47" s="316" t="s">
        <v>414</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415</v>
      </c>
      <c r="BE47" s="508"/>
      <c r="BF47" s="508" t="str">
        <f>IF(T47="","",T47)</f>
        <v>Территория действия тарифа</v>
      </c>
      <c r="BG47" s="508"/>
      <c r="BH47" s="508"/>
      <c r="BI47" s="1163">
        <v>21</v>
      </c>
    </row>
    <row customHeight="1" ht="43.050000000000004">
      <c r="A48" s="1371" t="s">
        <v>263</v>
      </c>
      <c r="B48" s="1371" t="s">
        <v>264</v>
      </c>
      <c r="C48" s="1371" t="s">
        <v>265</v>
      </c>
      <c r="D48" s="1371"/>
      <c r="E48" s="2280"/>
      <c r="F48" s="2280"/>
      <c r="G48" s="2279">
        <v>1</v>
      </c>
      <c r="H48" s="1371"/>
      <c r="I48" s="1371"/>
      <c r="J48" s="1371"/>
      <c r="K48" s="1371"/>
      <c r="L48" s="1372"/>
      <c r="M48" s="1373"/>
      <c r="N48" s="1373"/>
      <c r="O48" s="1373"/>
      <c r="P48" s="1420"/>
      <c r="Q48" s="1419"/>
      <c r="R48" s="361"/>
      <c r="S48" s="1465" t="str">
        <f>INDEX(PT_DIFFERENTIATION_NUM_CS,MATCH(C48,PT_DIFFERENTIATION_CS_ID,0))</f>
        <v>..</v>
      </c>
      <c r="T48" s="317" t="s">
        <v>498</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499</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263</v>
      </c>
      <c r="B49" s="1351" t="s">
        <v>264</v>
      </c>
      <c r="C49" s="1351" t="s">
        <v>265</v>
      </c>
      <c r="D49" s="1351" t="s">
        <v>532</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419</v>
      </c>
      <c r="BE49" s="508"/>
      <c r="BF49" s="508" t="str">
        <f>IF(T49="","",T49)</f>
        <v/>
      </c>
      <c r="BG49" s="508"/>
      <c r="BH49" s="508"/>
      <c r="BI49" s="519">
        <v>0</v>
      </c>
    </row>
    <row s="1650" customFormat="1" customHeight="1" ht="0">
      <c r="A50" s="1351" t="s">
        <v>263</v>
      </c>
      <c r="B50" s="1351" t="s">
        <v>264</v>
      </c>
      <c r="C50" s="1351" t="s">
        <v>265</v>
      </c>
      <c r="D50" s="1351" t="s">
        <v>532</v>
      </c>
      <c r="E50" s="2280"/>
      <c r="F50" s="2280"/>
      <c r="G50" s="2280"/>
      <c r="H50" s="2280"/>
      <c r="I50" s="2277" t="str">
        <f>S49&amp;".1"</f>
        <v>.1</v>
      </c>
      <c r="J50" s="1351"/>
      <c r="K50" s="1351"/>
      <c r="L50" s="1354" t="s">
        <v>420</v>
      </c>
      <c r="M50" s="518"/>
      <c r="N50" s="518"/>
      <c r="O50" s="518"/>
      <c r="P50" s="2278">
        <v>1</v>
      </c>
      <c r="Q50" s="1470"/>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263</v>
      </c>
      <c r="B51" s="1351" t="s">
        <v>264</v>
      </c>
      <c r="C51" s="1351" t="s">
        <v>265</v>
      </c>
      <c r="D51" s="1351" t="s">
        <v>532</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263</v>
      </c>
      <c r="B52" s="1371" t="s">
        <v>264</v>
      </c>
      <c r="C52" s="1371" t="s">
        <v>265</v>
      </c>
      <c r="D52" s="1371" t="s">
        <v>532</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67" t="s">
        <v>61</v>
      </c>
      <c r="AB52" s="1741"/>
      <c r="AC52" s="146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71">
        <v>1</v>
      </c>
      <c r="AS52" s="1474" t="s">
        <v>22</v>
      </c>
      <c r="AT52" s="759"/>
      <c r="AU52" s="1265"/>
      <c r="AV52" s="759"/>
      <c r="AW52" s="1265"/>
      <c r="AX52" s="1741"/>
      <c r="AY52" s="1467" t="s">
        <v>61</v>
      </c>
      <c r="AZ52" s="1741"/>
      <c r="BA52" s="1467" t="s">
        <v>61</v>
      </c>
      <c r="BB52" s="1356"/>
      <c r="BC52" s="2274" t="s">
        <v>518</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519</v>
      </c>
      <c r="AT53" s="1401"/>
      <c r="AU53" s="1504"/>
      <c r="AV53" s="1401"/>
      <c r="AW53" s="1504"/>
      <c r="AX53" s="1401"/>
      <c r="AY53" s="1401"/>
      <c r="AZ53" s="1401"/>
      <c r="BA53" s="1401"/>
      <c r="BB53" s="1405"/>
      <c r="BC53" s="2275"/>
      <c r="BE53" s="508"/>
      <c r="BF53" s="508"/>
      <c r="BG53" s="508"/>
      <c r="BH53" s="508"/>
      <c r="BI53" s="1163">
        <v>11</v>
      </c>
    </row>
    <row customHeight="1" ht="11.549999999999999">
      <c r="A54" s="1371" t="s">
        <v>263</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520</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263</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521</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263</v>
      </c>
      <c r="B56" s="1371" t="s">
        <v>264</v>
      </c>
      <c r="C56" s="1371" t="s">
        <v>265</v>
      </c>
      <c r="D56" s="1371" t="s">
        <v>532</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522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263</v>
      </c>
      <c r="B57" s="1371" t="s">
        <v>264</v>
      </c>
      <c r="C57" s="1371" t="s">
        <v>265</v>
      </c>
      <c r="D57" s="1371" t="s">
        <v>532</v>
      </c>
      <c r="E57" s="2280"/>
      <c r="F57" s="2280"/>
      <c r="G57" s="2280"/>
      <c r="H57" s="2280"/>
      <c r="I57" s="2307"/>
      <c r="J57" s="2277"/>
      <c r="K57" s="1371"/>
      <c r="L57" s="1372"/>
      <c r="P57" s="2278"/>
      <c r="Q57" s="2278"/>
      <c r="R57" s="364"/>
      <c r="S57" s="1286"/>
      <c r="T57" s="295" t="s">
        <v>485</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263</v>
      </c>
      <c r="B58" s="1351" t="s">
        <v>264</v>
      </c>
      <c r="C58" s="1351" t="s">
        <v>265</v>
      </c>
      <c r="D58" s="1351" t="s">
        <v>532</v>
      </c>
      <c r="E58" s="2280"/>
      <c r="F58" s="2280"/>
      <c r="G58" s="2280"/>
      <c r="H58" s="2280"/>
      <c r="I58" s="2277"/>
      <c r="J58" s="1351"/>
      <c r="K58" s="1351"/>
      <c r="L58" s="1354"/>
      <c r="M58" s="518"/>
      <c r="N58" s="518"/>
      <c r="O58" s="518"/>
      <c r="P58" s="2278"/>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263</v>
      </c>
      <c r="B59" s="1351" t="s">
        <v>264</v>
      </c>
      <c r="C59" s="1351" t="s">
        <v>265</v>
      </c>
      <c r="D59" s="1351" t="s">
        <v>532</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263</v>
      </c>
      <c r="B60" s="1351" t="s">
        <v>264</v>
      </c>
      <c r="C60" s="1351" t="s">
        <v>265</v>
      </c>
      <c r="D60" s="1322"/>
      <c r="E60" s="2280"/>
      <c r="F60" s="2280"/>
      <c r="G60" s="2279"/>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263</v>
      </c>
      <c r="B61" s="1351" t="s">
        <v>264</v>
      </c>
      <c r="C61" s="1322"/>
      <c r="D61" s="1322"/>
      <c r="E61" s="2280"/>
      <c r="F61" s="2279"/>
      <c r="G61" s="1322"/>
      <c r="H61" s="1322"/>
      <c r="I61" s="1322"/>
      <c r="J61" s="1322"/>
      <c r="K61" s="1322"/>
      <c r="L61" s="1472"/>
      <c r="M61" s="1329"/>
      <c r="N61" s="1329"/>
      <c r="P61" s="1324"/>
      <c r="Q61" s="1325"/>
      <c r="R61" s="1324"/>
      <c r="S61" s="1330"/>
      <c r="T61" s="1333" t="s">
        <v>432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263</v>
      </c>
      <c r="B62" s="1351"/>
      <c r="C62" s="1351"/>
      <c r="D62" s="1351"/>
      <c r="E62" s="2279"/>
      <c r="F62" s="1351"/>
      <c r="G62" s="1351"/>
      <c r="H62" s="1351"/>
      <c r="I62" s="1351"/>
      <c r="J62" s="1351"/>
      <c r="K62" s="1351"/>
      <c r="L62" s="1354"/>
      <c r="M62" s="1329"/>
      <c r="N62" s="1329"/>
      <c r="O62" s="526"/>
      <c r="P62" s="388"/>
      <c r="Q62" s="1352"/>
      <c r="R62" s="388"/>
      <c r="S62" s="1330"/>
      <c r="T62" s="1333" t="s">
        <v>433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465</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A2484-100B-C754-22A9-5FC0940226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533</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534</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501">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491" t="s">
        <v>506</v>
      </c>
      <c r="W38" s="2283" t="s">
        <v>452</v>
      </c>
      <c r="X38" s="2284"/>
      <c r="Y38" s="2283" t="s">
        <v>453</v>
      </c>
      <c r="Z38" s="2290"/>
      <c r="AA38" s="2284"/>
      <c r="AB38" s="2299"/>
      <c r="AC38" s="1491" t="s">
        <v>506</v>
      </c>
      <c r="AD38" s="2283" t="s">
        <v>452</v>
      </c>
      <c r="AE38" s="2284"/>
      <c r="AF38" s="2283" t="s">
        <v>453</v>
      </c>
      <c r="AG38" s="2290"/>
      <c r="AH38" s="2284"/>
      <c r="AI38" s="2299"/>
      <c r="AJ38" s="2302"/>
      <c r="AK38" s="2148"/>
      <c r="AQ38" s="1163">
        <v>34</v>
      </c>
    </row>
    <row customHeight="1" ht="90.3">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491" t="s">
        <v>535</v>
      </c>
      <c r="W39" s="1230" t="s">
        <v>536</v>
      </c>
      <c r="X39" s="1230" t="s">
        <v>511</v>
      </c>
      <c r="Y39" s="1497" t="s">
        <v>463</v>
      </c>
      <c r="Z39" s="2291" t="s">
        <v>464</v>
      </c>
      <c r="AA39" s="2292"/>
      <c r="AB39" s="2300"/>
      <c r="AC39" s="1491" t="s">
        <v>535</v>
      </c>
      <c r="AD39" s="1230" t="s">
        <v>536</v>
      </c>
      <c r="AE39" s="1230" t="s">
        <v>511</v>
      </c>
      <c r="AF39" s="1497" t="s">
        <v>463</v>
      </c>
      <c r="AG39" s="2291" t="s">
        <v>464</v>
      </c>
      <c r="AH39" s="2292"/>
      <c r="AI39" s="2300"/>
      <c r="AJ39" s="2303"/>
      <c r="AK39" s="2148"/>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283</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283</v>
      </c>
      <c r="B42" s="1371" t="s">
        <v>284</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283</v>
      </c>
      <c r="B43" s="1371" t="s">
        <v>284</v>
      </c>
      <c r="C43" s="1371" t="s">
        <v>285</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533</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534</v>
      </c>
      <c r="AM43" s="508"/>
      <c r="AN43" s="508" t="str">
        <f>IF(T43="","",T43)</f>
        <v>Наименование централизованной системы водоотведения</v>
      </c>
      <c r="AO43" s="508"/>
      <c r="AP43" s="508"/>
      <c r="AQ43" s="1163">
        <v>23</v>
      </c>
    </row>
    <row customHeight="1" ht="24">
      <c r="A44" s="1371" t="s">
        <v>283</v>
      </c>
      <c r="B44" s="1371" t="s">
        <v>284</v>
      </c>
      <c r="C44" s="1371" t="s">
        <v>285</v>
      </c>
      <c r="D44" s="1371" t="s">
        <v>537</v>
      </c>
      <c r="E44" s="2280"/>
      <c r="F44" s="2280"/>
      <c r="G44" s="2280"/>
      <c r="H44" s="2280"/>
      <c r="I44" s="2277" t="str">
        <f>S43&amp;".1"</f>
        <v>...1</v>
      </c>
      <c r="J44" s="1371"/>
      <c r="K44" s="1371"/>
      <c r="L44" s="1372"/>
      <c r="P44" s="2278">
        <v>1</v>
      </c>
      <c r="Q44" s="1489"/>
      <c r="R44" s="364"/>
      <c r="S44" s="1501"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283</v>
      </c>
      <c r="B45" s="1371" t="s">
        <v>284</v>
      </c>
      <c r="C45" s="1371" t="s">
        <v>285</v>
      </c>
      <c r="D45" s="1371" t="s">
        <v>537</v>
      </c>
      <c r="E45" s="2280"/>
      <c r="F45" s="2280"/>
      <c r="G45" s="2280"/>
      <c r="H45" s="2280"/>
      <c r="I45" s="2307"/>
      <c r="J45" s="2277" t="str">
        <f>I44&amp;".1"</f>
        <v>...1.1</v>
      </c>
      <c r="K45" s="1371"/>
      <c r="L45" s="1372" t="s">
        <v>423</v>
      </c>
      <c r="P45" s="2278"/>
      <c r="Q45" s="2278">
        <v>1</v>
      </c>
      <c r="R45" s="365"/>
      <c r="S45" s="1501"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283</v>
      </c>
      <c r="B46" s="1371" t="s">
        <v>284</v>
      </c>
      <c r="C46" s="1371" t="s">
        <v>285</v>
      </c>
      <c r="D46" s="1371" t="s">
        <v>537</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283</v>
      </c>
      <c r="B47" s="1371" t="s">
        <v>284</v>
      </c>
      <c r="C47" s="1371" t="s">
        <v>285</v>
      </c>
      <c r="D47" s="1371" t="s">
        <v>537</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283</v>
      </c>
      <c r="B48" s="1371" t="s">
        <v>284</v>
      </c>
      <c r="C48" s="1371" t="s">
        <v>285</v>
      </c>
      <c r="D48" s="1371" t="s">
        <v>537</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283</v>
      </c>
      <c r="B49" s="1371" t="s">
        <v>284</v>
      </c>
      <c r="C49" s="1371" t="s">
        <v>285</v>
      </c>
      <c r="D49" s="1371" t="s">
        <v>537</v>
      </c>
      <c r="E49" s="2280"/>
      <c r="F49" s="2280"/>
      <c r="G49" s="2280"/>
      <c r="H49" s="2280"/>
      <c r="I49" s="2277"/>
      <c r="J49" s="1371"/>
      <c r="K49" s="1371"/>
      <c r="L49" s="1372"/>
      <c r="P49" s="2278"/>
      <c r="Q49" s="1489"/>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283</v>
      </c>
      <c r="B50" s="1371" t="s">
        <v>284</v>
      </c>
      <c r="C50" s="1371" t="s">
        <v>285</v>
      </c>
      <c r="D50" s="1371" t="s">
        <v>537</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283</v>
      </c>
      <c r="B51" s="1351" t="s">
        <v>284</v>
      </c>
      <c r="C51" s="1322"/>
      <c r="D51" s="1322"/>
      <c r="E51" s="2280"/>
      <c r="F51" s="2279"/>
      <c r="G51" s="1322"/>
      <c r="H51" s="1322"/>
      <c r="I51" s="1322"/>
      <c r="J51" s="1322"/>
      <c r="K51" s="1322"/>
      <c r="L51" s="1502"/>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283</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CD27-8E51-80EA-6A0E-E4D54BA9256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142</v>
      </c>
      <c r="U2" s="308"/>
      <c r="V2" s="2263"/>
      <c r="W2" s="2264"/>
      <c r="X2" s="2264"/>
      <c r="Y2" s="2264"/>
      <c r="Z2" s="2264"/>
      <c r="AA2" s="2264"/>
      <c r="AB2" s="2265"/>
      <c r="AC2" s="2263">
        <f>INDEX(PT_DIFFERENTIATION_NTAR,MATCH(A2,PT_DIFFERENTIATION_NTAR_ID,0))</f>
      </c>
      <c r="AD2" s="2264"/>
      <c r="AE2" s="2264"/>
      <c r="AF2" s="2264"/>
      <c r="AG2" s="2264"/>
      <c r="AH2" s="2264"/>
      <c r="AI2" s="2264"/>
      <c r="AJ2" s="2265"/>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414</v>
      </c>
      <c r="U3" s="308"/>
      <c r="V3" s="2263"/>
      <c r="W3" s="2264"/>
      <c r="X3" s="2264"/>
      <c r="Y3" s="2264"/>
      <c r="Z3" s="2264"/>
      <c r="AA3" s="2264"/>
      <c r="AB3" s="2265"/>
      <c r="AC3" s="2263">
        <f>INDEX(PT_DIFFERENTIATION_TER,MATCH(B3,PT_DIFFERENTIATION_TER_ID,0))</f>
      </c>
      <c r="AD3" s="2264"/>
      <c r="AE3" s="2264"/>
      <c r="AF3" s="2264"/>
      <c r="AG3" s="2264"/>
      <c r="AH3" s="2264"/>
      <c r="AI3" s="2264"/>
      <c r="AJ3" s="2265"/>
      <c r="AK3" s="1266" t="s">
        <v>415</v>
      </c>
      <c r="AM3" s="508"/>
      <c r="AN3" s="508" t="str">
        <f>IF(T3="","",T3)</f>
        <v>Территория действия тарифа</v>
      </c>
      <c r="AO3" s="508"/>
      <c r="AP3" s="508"/>
      <c r="AQ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533</v>
      </c>
      <c r="U4" s="308"/>
      <c r="V4" s="2263"/>
      <c r="W4" s="2264"/>
      <c r="X4" s="2264"/>
      <c r="Y4" s="2264"/>
      <c r="Z4" s="2264"/>
      <c r="AA4" s="2264"/>
      <c r="AB4" s="2265"/>
      <c r="AC4" s="2263">
        <f>INDEX(PT_DIFFERENTIATION_CS,MATCH(C4,PT_DIFFERENTIATION_CS_ID,0))</f>
      </c>
      <c r="AD4" s="2264"/>
      <c r="AE4" s="2264"/>
      <c r="AF4" s="2264"/>
      <c r="AG4" s="2264"/>
      <c r="AH4" s="2264"/>
      <c r="AI4" s="2264"/>
      <c r="AJ4" s="2265"/>
      <c r="AK4" s="1266" t="s">
        <v>534</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500</v>
      </c>
      <c r="U5" s="308"/>
      <c r="V5" s="2371"/>
      <c r="W5" s="2372"/>
      <c r="X5" s="2372"/>
      <c r="Y5" s="2372"/>
      <c r="Z5" s="2372"/>
      <c r="AA5" s="2372"/>
      <c r="AB5" s="2373"/>
      <c r="AC5" s="2374"/>
      <c r="AD5" s="2375"/>
      <c r="AE5" s="2375"/>
      <c r="AF5" s="2375"/>
      <c r="AG5" s="2375"/>
      <c r="AH5" s="2375"/>
      <c r="AI5" s="2375"/>
      <c r="AJ5" s="2376"/>
      <c r="AK5" s="1266" t="s">
        <v>501</v>
      </c>
      <c r="AM5" s="508"/>
      <c r="AN5" s="508" t="str">
        <f>IF(T5="","",T5)</f>
        <v>Наименование признака дифференциации</v>
      </c>
      <c r="AO5" s="508"/>
      <c r="AP5" s="508"/>
      <c r="AQ5" s="1163">
        <v>0</v>
      </c>
    </row>
    <row customHeight="1" ht="23.25" hidden="1">
      <c r="A6" s="1371"/>
      <c r="B6" s="1371"/>
      <c r="C6" s="1371"/>
      <c r="D6" s="1371"/>
      <c r="E6" s="2280"/>
      <c r="F6" s="2280"/>
      <c r="G6" s="2280"/>
      <c r="H6" s="2280"/>
      <c r="I6" s="2307"/>
      <c r="J6" s="2277">
        <f>I5&amp;".1"</f>
      </c>
      <c r="K6" s="1371"/>
      <c r="L6" s="1372" t="s">
        <v>423</v>
      </c>
      <c r="P6" s="2278"/>
      <c r="Q6" s="2278">
        <v>1</v>
      </c>
      <c r="R6" s="365"/>
      <c r="S6" s="1501">
        <f>$J6</f>
      </c>
      <c r="T6" s="294" t="s">
        <v>424</v>
      </c>
      <c r="U6" s="308"/>
      <c r="V6" s="2266"/>
      <c r="W6" s="2267"/>
      <c r="X6" s="2267"/>
      <c r="Y6" s="2267"/>
      <c r="Z6" s="2267"/>
      <c r="AA6" s="2267"/>
      <c r="AB6" s="2268"/>
      <c r="AC6" s="2266"/>
      <c r="AD6" s="2267"/>
      <c r="AE6" s="2267"/>
      <c r="AF6" s="2267"/>
      <c r="AG6" s="2267"/>
      <c r="AH6" s="2267"/>
      <c r="AI6" s="2267"/>
      <c r="AJ6" s="2268"/>
      <c r="AK6" s="1315" t="s">
        <v>502</v>
      </c>
      <c r="AM6" s="508"/>
      <c r="AN6" s="508" t="str">
        <f>IF(T6="","",T6)</f>
        <v>Группа потребителей</v>
      </c>
      <c r="AO6" s="508"/>
      <c r="AP6" s="508"/>
      <c r="AQ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1265"/>
      <c r="Y7" s="2286"/>
      <c r="Z7" s="2128" t="s">
        <v>61</v>
      </c>
      <c r="AA7" s="2286"/>
      <c r="AB7" s="2128" t="s">
        <v>61</v>
      </c>
      <c r="AC7" s="759"/>
      <c r="AD7" s="759"/>
      <c r="AE7" s="1265"/>
      <c r="AF7" s="2286"/>
      <c r="AG7" s="2128" t="s">
        <v>61</v>
      </c>
      <c r="AH7" s="2308"/>
      <c r="AI7" s="2128" t="s">
        <v>61</v>
      </c>
      <c r="AJ7" s="1446"/>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6" t="str">
        <f>Y7&amp;"-"&amp;AA7</f>
        <v>-</v>
      </c>
      <c r="Y8" s="2287"/>
      <c r="Z8" s="2128"/>
      <c r="AA8" s="2287"/>
      <c r="AB8" s="2128"/>
      <c r="AC8" s="333"/>
      <c r="AD8" s="333"/>
      <c r="AE8" s="336" t="str">
        <f>AF7&amp;"-"&amp;AH7</f>
        <v>-</v>
      </c>
      <c r="AF8" s="2287"/>
      <c r="AG8" s="2128"/>
      <c r="AH8" s="2309"/>
      <c r="AI8" s="2128"/>
      <c r="AJ8" s="1447"/>
      <c r="AK8" s="2370"/>
      <c r="AM8" s="508"/>
      <c r="AN8" s="508" t="str">
        <f>IF(T8="","",T8)</f>
        <v/>
      </c>
      <c r="AO8" s="508"/>
      <c r="AP8" s="508"/>
      <c r="AQ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375"/>
      <c r="X9" s="375"/>
      <c r="Y9" s="375"/>
      <c r="Z9" s="375"/>
      <c r="AA9" s="375"/>
      <c r="AB9" s="375"/>
      <c r="AC9" s="375"/>
      <c r="AD9" s="375"/>
      <c r="AE9" s="375"/>
      <c r="AF9" s="375"/>
      <c r="AG9" s="375"/>
      <c r="AH9" s="375"/>
      <c r="AI9" s="375"/>
      <c r="AJ9" s="375"/>
      <c r="AK9" s="1266" t="s">
        <v>504</v>
      </c>
      <c r="AM9" s="508"/>
      <c r="AN9" s="508" t="str">
        <f>IF(T9="","",T9)</f>
        <v>Добавить значение признака дифференциации</v>
      </c>
      <c r="AO9" s="508"/>
      <c r="AP9" s="508"/>
      <c r="AQ9" s="1163">
        <v>0</v>
      </c>
    </row>
    <row customHeight="1" ht="21" hidden="1">
      <c r="A10" s="1371"/>
      <c r="B10" s="1371"/>
      <c r="C10" s="1371"/>
      <c r="D10" s="1371"/>
      <c r="E10" s="2280"/>
      <c r="F10" s="2280"/>
      <c r="G10" s="2280"/>
      <c r="H10" s="2280"/>
      <c r="I10" s="2277"/>
      <c r="J10" s="1371"/>
      <c r="K10" s="1371"/>
      <c r="L10" s="1372"/>
      <c r="P10" s="2278"/>
      <c r="Q10" s="1489"/>
      <c r="R10" s="364"/>
      <c r="S10" s="1286"/>
      <c r="T10" s="373" t="s">
        <v>429</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88"/>
      <c r="AG15" s="2289" t="s">
        <v>61</v>
      </c>
      <c r="AH15" s="2288"/>
      <c r="AI15" s="2289" t="s">
        <v>61</v>
      </c>
      <c r="AQ15" s="1163">
        <v>0</v>
      </c>
    </row>
    <row customHeight="1" ht="14.25" hidden="1">
      <c r="AC16" s="1368"/>
      <c r="AD16" s="1368"/>
      <c r="AE16" s="336" t="str">
        <f>AF15&amp;"-"&amp;AH15</f>
        <v>-</v>
      </c>
      <c r="AF16" s="2289"/>
      <c r="AG16" s="2289"/>
      <c r="AH16" s="2289"/>
      <c r="AI16" s="2289"/>
      <c r="AQ16" s="1163">
        <v>0</v>
      </c>
    </row>
    <row customHeight="1" ht="14.25" hidden="1">
      <c r="AI17" s="335"/>
      <c r="AQ17" s="1163">
        <v>0</v>
      </c>
    </row>
    <row s="1374" customFormat="1" customHeight="1" ht="22.5" hidden="1">
      <c r="L18" s="1486"/>
      <c r="M18" s="1370"/>
      <c r="N18" s="1370"/>
      <c r="O18" s="1375" t="s">
        <v>434</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435</v>
      </c>
      <c r="P20" s="1370"/>
      <c r="Q20" s="1450"/>
      <c r="R20" s="1450"/>
      <c r="S20" s="737"/>
      <c r="T20" s="1168" t="s">
        <v>436</v>
      </c>
      <c r="Z20" s="194" t="s">
        <v>437</v>
      </c>
      <c r="AB20" s="194" t="s">
        <v>438</v>
      </c>
      <c r="AC20" s="1168" t="s">
        <v>436</v>
      </c>
      <c r="AG20" s="194" t="s">
        <v>439</v>
      </c>
      <c r="AI20" s="194" t="s">
        <v>438</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51"/>
      <c r="AQ24" s="1163">
        <v>14</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334"/>
      <c r="AC27" s="2272" t="str">
        <f>IF(TITLE_NAME_OR_PR_CHANGE="",IF(TITLE_NAME_OR_PR="","",TITLE_NAME_OR_PR),TITLE_NAME_OR_PR_CHANGE)</f>
        <v/>
      </c>
      <c r="AD27" s="2272"/>
      <c r="AE27" s="2272"/>
      <c r="AF27" s="2272"/>
      <c r="AG27" s="2272"/>
      <c r="AH27" s="2272"/>
      <c r="AI27" s="334"/>
      <c r="AJ27" s="334"/>
      <c r="AK27" s="288"/>
      <c r="AL27" s="376"/>
      <c r="AM27" s="376"/>
      <c r="AN27" s="376"/>
      <c r="AO27" s="376"/>
      <c r="AP27" s="376"/>
      <c r="AQ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334"/>
      <c r="AC28" s="2285" t="str">
        <f>IF(TITLE_DATE_PR_CHANGE="",IF(TITLE_DATE_PR="","",TITLE_DATE_PR),TITLE_DATE_PR_CHANGE)</f>
        <v/>
      </c>
      <c r="AD28" s="2285"/>
      <c r="AE28" s="2285"/>
      <c r="AF28" s="2285"/>
      <c r="AG28" s="2285"/>
      <c r="AH28" s="2285"/>
      <c r="AI28" s="334"/>
      <c r="AJ28" s="334"/>
      <c r="AK28" s="288"/>
      <c r="AL28" s="376"/>
      <c r="AM28" s="376"/>
      <c r="AN28" s="376"/>
      <c r="AO28" s="376"/>
      <c r="AP28" s="376"/>
      <c r="AQ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334"/>
      <c r="AC29" s="2272" t="str">
        <f>IF(TITLE_NUMBER_PR_CHANGE="",IF(TITLE_NUMBER_PR="","",TITLE_NUMBER_PR),TITLE_NUMBER_PR_CHANGE)</f>
        <v/>
      </c>
      <c r="AD29" s="2272"/>
      <c r="AE29" s="2272"/>
      <c r="AF29" s="2272"/>
      <c r="AG29" s="2272"/>
      <c r="AH29" s="2272"/>
      <c r="AI29" s="334"/>
      <c r="AJ29" s="334"/>
      <c r="AK29" s="288"/>
      <c r="AL29" s="376"/>
      <c r="AM29" s="376"/>
      <c r="AN29" s="376"/>
      <c r="AO29" s="376"/>
      <c r="AP29" s="376"/>
      <c r="AQ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334"/>
      <c r="AC30" s="2272" t="str">
        <f>IF(TITLE_IST_PUB_CHANGE="",IF(TITLE_IST_PUB="","",TITLE_IST_PUB),TITLE_IST_PUB_CHANGE)</f>
        <v/>
      </c>
      <c r="AD30" s="2272"/>
      <c r="AE30" s="2272"/>
      <c r="AF30" s="2272"/>
      <c r="AG30" s="2272"/>
      <c r="AH30" s="2272"/>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334"/>
      <c r="AC32" s="2285" t="str">
        <f>IF(TITLE_DATE_PR_CHANGE="",IF(TITLE_DATE_PR="","",TITLE_DATE_PR),TITLE_DATE_PR_CHANGE)</f>
        <v/>
      </c>
      <c r="AD32" s="2285"/>
      <c r="AE32" s="2285"/>
      <c r="AF32" s="2285"/>
      <c r="AG32" s="2285"/>
      <c r="AH32" s="2285"/>
      <c r="AI32" s="334"/>
      <c r="AJ32" s="334"/>
      <c r="AK32" s="288"/>
      <c r="AL32" s="376"/>
      <c r="AM32" s="376"/>
      <c r="AN32" s="376"/>
      <c r="AO32" s="376"/>
      <c r="AP32" s="376"/>
      <c r="AQ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334"/>
      <c r="AC33" s="2272" t="str">
        <f>IF(TITLE_NUMBER_PR_CHANGE="",IF(TITLE_NUMBER_PR="","",TITLE_NUMBER_PR),TITLE_NUMBER_PR_CHANGE)</f>
        <v/>
      </c>
      <c r="AD33" s="2272"/>
      <c r="AE33" s="2272"/>
      <c r="AF33" s="2272"/>
      <c r="AG33" s="2272"/>
      <c r="AH33" s="2272"/>
      <c r="AI33" s="334"/>
      <c r="AJ33" s="334"/>
      <c r="AK33" s="288"/>
      <c r="AL33" s="376"/>
      <c r="AM33" s="376"/>
      <c r="AN33" s="376"/>
      <c r="AO33" s="376"/>
      <c r="AP33" s="376"/>
      <c r="AQ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444</v>
      </c>
      <c r="AC34" s="334"/>
      <c r="AD34" s="334"/>
      <c r="AE34" s="334"/>
      <c r="AF34" s="334"/>
      <c r="AG34" s="334"/>
      <c r="AH34" s="334"/>
      <c r="AI34" s="286" t="s">
        <v>444</v>
      </c>
      <c r="AL34" s="376"/>
      <c r="AM34" s="376"/>
      <c r="AN34" s="376"/>
      <c r="AO34" s="376"/>
      <c r="AP34" s="376"/>
      <c r="AQ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Q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t="s">
        <v>318</v>
      </c>
      <c r="AQ36" s="1163">
        <v>14</v>
      </c>
    </row>
    <row customHeight="1" ht="14.699999999999998">
      <c r="Q37" s="384"/>
      <c r="R37" s="384"/>
      <c r="S37" s="2294" t="s">
        <v>88</v>
      </c>
      <c r="T37" s="2230" t="s">
        <v>445</v>
      </c>
      <c r="U37" s="309"/>
      <c r="V37" s="2295" t="s">
        <v>446</v>
      </c>
      <c r="W37" s="2296"/>
      <c r="X37" s="2296"/>
      <c r="Y37" s="2296"/>
      <c r="Z37" s="2296"/>
      <c r="AA37" s="2297"/>
      <c r="AB37" s="2298" t="s">
        <v>447</v>
      </c>
      <c r="AC37" s="2295" t="s">
        <v>446</v>
      </c>
      <c r="AD37" s="2296"/>
      <c r="AE37" s="2296"/>
      <c r="AF37" s="2296"/>
      <c r="AG37" s="2296"/>
      <c r="AH37" s="2297"/>
      <c r="AI37" s="2298" t="s">
        <v>448</v>
      </c>
      <c r="AJ37" s="2301" t="s">
        <v>449</v>
      </c>
      <c r="AK37" s="2148"/>
      <c r="AQ37" s="1163">
        <v>14</v>
      </c>
    </row>
    <row customHeight="1" ht="35.699999999999996">
      <c r="Q38" s="384"/>
      <c r="R38" s="384"/>
      <c r="S38" s="2294"/>
      <c r="T38" s="2230"/>
      <c r="U38" s="1039"/>
      <c r="V38" s="1491" t="s">
        <v>506</v>
      </c>
      <c r="W38" s="2283" t="s">
        <v>452</v>
      </c>
      <c r="X38" s="2284"/>
      <c r="Y38" s="2283" t="s">
        <v>453</v>
      </c>
      <c r="Z38" s="2290"/>
      <c r="AA38" s="2284"/>
      <c r="AB38" s="2299"/>
      <c r="AC38" s="1491" t="s">
        <v>506</v>
      </c>
      <c r="AD38" s="2283" t="s">
        <v>452</v>
      </c>
      <c r="AE38" s="2284"/>
      <c r="AF38" s="2283" t="s">
        <v>453</v>
      </c>
      <c r="AG38" s="2290"/>
      <c r="AH38" s="2284"/>
      <c r="AI38" s="2299"/>
      <c r="AJ38" s="2302"/>
      <c r="AK38" s="2148"/>
      <c r="AQ38" s="1163">
        <v>34</v>
      </c>
    </row>
    <row customHeight="1" ht="90.3">
      <c r="A39" s="1378"/>
      <c r="B39" s="1378" t="s">
        <v>154</v>
      </c>
      <c r="C39" s="1378" t="s">
        <v>155</v>
      </c>
      <c r="D39" s="1378" t="s">
        <v>156</v>
      </c>
      <c r="E39" s="1372" t="s">
        <v>454</v>
      </c>
      <c r="F39" s="1372" t="s">
        <v>455</v>
      </c>
      <c r="G39" s="1372" t="s">
        <v>456</v>
      </c>
      <c r="H39" s="1372"/>
      <c r="I39" s="1372" t="s">
        <v>507</v>
      </c>
      <c r="J39" s="1372" t="s">
        <v>459</v>
      </c>
      <c r="K39" s="1372" t="s">
        <v>508</v>
      </c>
      <c r="L39" s="1372" t="s">
        <v>435</v>
      </c>
      <c r="Q39" s="384"/>
      <c r="R39" s="384"/>
      <c r="S39" s="2294"/>
      <c r="T39" s="2230"/>
      <c r="U39" s="310"/>
      <c r="V39" s="1491" t="s">
        <v>535</v>
      </c>
      <c r="W39" s="1230" t="s">
        <v>536</v>
      </c>
      <c r="X39" s="1230" t="s">
        <v>511</v>
      </c>
      <c r="Y39" s="1497" t="s">
        <v>463</v>
      </c>
      <c r="Z39" s="2291" t="s">
        <v>464</v>
      </c>
      <c r="AA39" s="2292"/>
      <c r="AB39" s="2300"/>
      <c r="AC39" s="1491" t="s">
        <v>535</v>
      </c>
      <c r="AD39" s="1230" t="s">
        <v>536</v>
      </c>
      <c r="AE39" s="1230" t="s">
        <v>511</v>
      </c>
      <c r="AF39" s="1497" t="s">
        <v>463</v>
      </c>
      <c r="AG39" s="2291" t="s">
        <v>464</v>
      </c>
      <c r="AH39" s="2292"/>
      <c r="AI39" s="2300"/>
      <c r="AJ39" s="2303"/>
      <c r="AK39" s="2148"/>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93">
        <f>OFFSET(Z40,0,-1)+1</f>
        <v>7</v>
      </c>
      <c r="AA40" s="2293"/>
      <c r="AB40" s="1490">
        <f>OFFSET(AB40,0,-2)+1</f>
        <v>8</v>
      </c>
      <c r="AC40" s="1490">
        <f>OFFSET(AC40,0,-1)+1</f>
        <v>9</v>
      </c>
      <c r="AD40" s="1490">
        <f>OFFSET(AD40,0,-1)+1</f>
        <v>10</v>
      </c>
      <c r="AE40" s="1490">
        <f>OFFSET(AE40,0,-1)+1</f>
        <v>11</v>
      </c>
      <c r="AF40" s="1490">
        <f>OFFSET(AF40,0,-1)+1</f>
        <v>12</v>
      </c>
      <c r="AG40" s="2293">
        <f>OFFSET(AG40,0,-1)+1</f>
        <v>13</v>
      </c>
      <c r="AH40" s="2293"/>
      <c r="AI40" s="1490">
        <f>OFFSET(AI40,0,-2)+1</f>
        <v>14</v>
      </c>
      <c r="AJ40" s="1253">
        <f>OFFSET(AJ40,0,-1)</f>
        <v>14</v>
      </c>
      <c r="AK40" s="1490">
        <f>OFFSET(AK40,0,-1)+1</f>
        <v>15</v>
      </c>
      <c r="AL40" s="519"/>
      <c r="AM40" s="519"/>
      <c r="AN40" s="519"/>
      <c r="AO40" s="519"/>
      <c r="AP40" s="519"/>
      <c r="AQ40" s="504">
        <v>0</v>
      </c>
    </row>
    <row customHeight="1" ht="24">
      <c r="A41" s="1371" t="s">
        <v>288</v>
      </c>
      <c r="B41" s="1371"/>
      <c r="C41" s="1371"/>
      <c r="D41" s="1371"/>
      <c r="E41" s="2279">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142</v>
      </c>
      <c r="U41" s="308"/>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288</v>
      </c>
      <c r="B42" s="1371" t="s">
        <v>289</v>
      </c>
      <c r="C42" s="1371"/>
      <c r="D42" s="1371"/>
      <c r="E42" s="2280"/>
      <c r="F42" s="2279">
        <v>1</v>
      </c>
      <c r="G42" s="1371"/>
      <c r="H42" s="1371"/>
      <c r="I42" s="1371"/>
      <c r="J42" s="1371"/>
      <c r="K42" s="1371"/>
      <c r="L42" s="1372"/>
      <c r="M42" s="1373"/>
      <c r="N42" s="1373"/>
      <c r="O42" s="1373"/>
      <c r="P42" s="1495"/>
      <c r="Q42" s="360"/>
      <c r="R42" s="361"/>
      <c r="S42" s="1501" t="str">
        <f>INDEX(PT_DIFFERENTIATION_NUM_TER,MATCH(B42,PT_DIFFERENTIATION_TER_ID,0))</f>
        <v>.</v>
      </c>
      <c r="T42" s="316" t="s">
        <v>414</v>
      </c>
      <c r="U42" s="308"/>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6" t="s">
        <v>415</v>
      </c>
      <c r="AM42" s="508"/>
      <c r="AN42" s="508" t="str">
        <f>IF(T42="","",T42)</f>
        <v>Территория действия тарифа</v>
      </c>
      <c r="AO42" s="508"/>
      <c r="AP42" s="508"/>
      <c r="AQ42" s="1163">
        <v>23</v>
      </c>
    </row>
    <row customHeight="1" ht="24">
      <c r="A43" s="1371" t="s">
        <v>288</v>
      </c>
      <c r="B43" s="1371" t="s">
        <v>289</v>
      </c>
      <c r="C43" s="1371" t="s">
        <v>290</v>
      </c>
      <c r="D43" s="1371"/>
      <c r="E43" s="2280"/>
      <c r="F43" s="2280"/>
      <c r="G43" s="2279">
        <v>1</v>
      </c>
      <c r="H43" s="1371"/>
      <c r="I43" s="1371"/>
      <c r="J43" s="1371"/>
      <c r="K43" s="1371"/>
      <c r="L43" s="1372"/>
      <c r="M43" s="1373"/>
      <c r="N43" s="1373"/>
      <c r="O43" s="1373"/>
      <c r="P43" s="362"/>
      <c r="Q43" s="360"/>
      <c r="R43" s="361"/>
      <c r="S43" s="1501" t="str">
        <f>INDEX(PT_DIFFERENTIATION_NUM_CS,MATCH(C43,PT_DIFFERENTIATION_CS_ID,0))</f>
        <v>..</v>
      </c>
      <c r="T43" s="317" t="s">
        <v>533</v>
      </c>
      <c r="U43" s="308"/>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6" t="s">
        <v>534</v>
      </c>
      <c r="AM43" s="508"/>
      <c r="AN43" s="508" t="str">
        <f>IF(T43="","",T43)</f>
        <v>Наименование централизованной системы водоотведения</v>
      </c>
      <c r="AO43" s="508"/>
      <c r="AP43" s="508"/>
      <c r="AQ43" s="1163">
        <v>23</v>
      </c>
    </row>
    <row customHeight="1" ht="24">
      <c r="A44" s="1371" t="s">
        <v>288</v>
      </c>
      <c r="B44" s="1371" t="s">
        <v>289</v>
      </c>
      <c r="C44" s="1371" t="s">
        <v>290</v>
      </c>
      <c r="D44" s="1371" t="s">
        <v>538</v>
      </c>
      <c r="E44" s="2280"/>
      <c r="F44" s="2280"/>
      <c r="G44" s="2280"/>
      <c r="H44" s="2280"/>
      <c r="I44" s="2277" t="str">
        <f>S43&amp;".1"</f>
        <v>...1</v>
      </c>
      <c r="J44" s="1371"/>
      <c r="K44" s="1371"/>
      <c r="L44" s="1372"/>
      <c r="P44" s="2278">
        <v>1</v>
      </c>
      <c r="Q44" s="1489"/>
      <c r="R44" s="364"/>
      <c r="S44" s="1501" t="str">
        <f>$I44</f>
        <v>...1</v>
      </c>
      <c r="T44" s="293" t="s">
        <v>500</v>
      </c>
      <c r="U44" s="308"/>
      <c r="V44" s="2371"/>
      <c r="W44" s="2372"/>
      <c r="X44" s="2372"/>
      <c r="Y44" s="2372"/>
      <c r="Z44" s="2372"/>
      <c r="AA44" s="2372"/>
      <c r="AB44" s="2373"/>
      <c r="AC44" s="2374"/>
      <c r="AD44" s="2375"/>
      <c r="AE44" s="2375"/>
      <c r="AF44" s="2375"/>
      <c r="AG44" s="2375"/>
      <c r="AH44" s="2375"/>
      <c r="AI44" s="2375"/>
      <c r="AJ44" s="2376"/>
      <c r="AK44" s="1266" t="s">
        <v>501</v>
      </c>
      <c r="AM44" s="508"/>
      <c r="AN44" s="508" t="str">
        <f>IF(T44="","",T44)</f>
        <v>Наименование признака дифференциации</v>
      </c>
      <c r="AO44" s="508"/>
      <c r="AP44" s="508"/>
      <c r="AQ44" s="1163">
        <v>23</v>
      </c>
    </row>
    <row customHeight="1" ht="24">
      <c r="A45" s="1371" t="s">
        <v>288</v>
      </c>
      <c r="B45" s="1371" t="s">
        <v>289</v>
      </c>
      <c r="C45" s="1371" t="s">
        <v>290</v>
      </c>
      <c r="D45" s="1371" t="s">
        <v>538</v>
      </c>
      <c r="E45" s="2280"/>
      <c r="F45" s="2280"/>
      <c r="G45" s="2280"/>
      <c r="H45" s="2280"/>
      <c r="I45" s="2307"/>
      <c r="J45" s="2277" t="str">
        <f>I44&amp;".1"</f>
        <v>...1.1</v>
      </c>
      <c r="K45" s="1371"/>
      <c r="L45" s="1372" t="s">
        <v>423</v>
      </c>
      <c r="P45" s="2278"/>
      <c r="Q45" s="2278">
        <v>1</v>
      </c>
      <c r="R45" s="365"/>
      <c r="S45" s="1501" t="str">
        <f>$J45</f>
        <v>...1.1</v>
      </c>
      <c r="T45" s="294" t="s">
        <v>424</v>
      </c>
      <c r="U45" s="308"/>
      <c r="V45" s="2266"/>
      <c r="W45" s="2267"/>
      <c r="X45" s="2267"/>
      <c r="Y45" s="2267"/>
      <c r="Z45" s="2267"/>
      <c r="AA45" s="2267"/>
      <c r="AB45" s="2268"/>
      <c r="AC45" s="2266"/>
      <c r="AD45" s="2267"/>
      <c r="AE45" s="2267"/>
      <c r="AF45" s="2267"/>
      <c r="AG45" s="2267"/>
      <c r="AH45" s="2267"/>
      <c r="AI45" s="2267"/>
      <c r="AJ45" s="2268"/>
      <c r="AK45" s="1315" t="s">
        <v>502</v>
      </c>
      <c r="AM45" s="508"/>
      <c r="AN45" s="508" t="str">
        <f>IF(T45="","",T45)</f>
        <v>Группа потребителей</v>
      </c>
      <c r="AO45" s="508"/>
      <c r="AP45" s="508"/>
      <c r="AQ45" s="1163">
        <v>23</v>
      </c>
    </row>
    <row customHeight="1" ht="24">
      <c r="A46" s="1371" t="s">
        <v>288</v>
      </c>
      <c r="B46" s="1371" t="s">
        <v>289</v>
      </c>
      <c r="C46" s="1371" t="s">
        <v>290</v>
      </c>
      <c r="D46" s="1371" t="s">
        <v>538</v>
      </c>
      <c r="E46" s="2280"/>
      <c r="F46" s="2280"/>
      <c r="G46" s="2280"/>
      <c r="H46" s="2280"/>
      <c r="I46" s="2307"/>
      <c r="J46" s="2307"/>
      <c r="K46" s="2277" t="str">
        <f>J45&amp;".1"</f>
        <v>...1.1.1</v>
      </c>
      <c r="L46" s="1372"/>
      <c r="P46" s="2278"/>
      <c r="Q46" s="2278"/>
      <c r="R46" s="365">
        <v>1</v>
      </c>
      <c r="S46" s="1501" t="str">
        <f>$K46</f>
        <v>...1.1.1</v>
      </c>
      <c r="T46" s="1445"/>
      <c r="U46" s="308"/>
      <c r="V46" s="1368"/>
      <c r="W46" s="1368"/>
      <c r="X46" s="1369"/>
      <c r="Y46" s="2288"/>
      <c r="Z46" s="2289" t="s">
        <v>61</v>
      </c>
      <c r="AA46" s="2288"/>
      <c r="AB46" s="2289" t="s">
        <v>61</v>
      </c>
      <c r="AC46" s="759"/>
      <c r="AD46" s="759"/>
      <c r="AE46" s="1265"/>
      <c r="AF46" s="2286"/>
      <c r="AG46" s="2128" t="s">
        <v>61</v>
      </c>
      <c r="AH46" s="2308"/>
      <c r="AI46" s="2128" t="s">
        <v>19</v>
      </c>
      <c r="AJ46" s="1446"/>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288</v>
      </c>
      <c r="B47" s="1371" t="s">
        <v>289</v>
      </c>
      <c r="C47" s="1371" t="s">
        <v>290</v>
      </c>
      <c r="D47" s="1371" t="s">
        <v>538</v>
      </c>
      <c r="E47" s="2280"/>
      <c r="F47" s="2280"/>
      <c r="G47" s="2280"/>
      <c r="H47" s="2280"/>
      <c r="I47" s="2307"/>
      <c r="J47" s="2307"/>
      <c r="K47" s="2277"/>
      <c r="L47" s="1372"/>
      <c r="P47" s="2278"/>
      <c r="Q47" s="2278"/>
      <c r="R47" s="365"/>
      <c r="S47" s="1498"/>
      <c r="T47" s="308"/>
      <c r="U47" s="308"/>
      <c r="V47" s="1368"/>
      <c r="W47" s="1368"/>
      <c r="X47" s="336" t="str">
        <f>Y46&amp;"-"&amp;AA46</f>
        <v>-</v>
      </c>
      <c r="Y47" s="2289"/>
      <c r="Z47" s="2289"/>
      <c r="AA47" s="2289"/>
      <c r="AB47" s="2289"/>
      <c r="AC47" s="333"/>
      <c r="AD47" s="333"/>
      <c r="AE47" s="336" t="str">
        <f>AF46&amp;"-"&amp;AH46</f>
        <v>-</v>
      </c>
      <c r="AF47" s="2287"/>
      <c r="AG47" s="2128"/>
      <c r="AH47" s="2309"/>
      <c r="AI47" s="2128"/>
      <c r="AJ47" s="1447"/>
      <c r="AK47" s="2370"/>
      <c r="AM47" s="508"/>
      <c r="AN47" s="508" t="str">
        <f>IF(T47="","",T47)</f>
        <v/>
      </c>
      <c r="AO47" s="508"/>
      <c r="AP47" s="508"/>
      <c r="AQ47" s="1163">
        <v>0</v>
      </c>
    </row>
    <row customHeight="1" ht="21">
      <c r="A48" s="1371" t="s">
        <v>288</v>
      </c>
      <c r="B48" s="1371" t="s">
        <v>289</v>
      </c>
      <c r="C48" s="1371" t="s">
        <v>290</v>
      </c>
      <c r="D48" s="1371" t="s">
        <v>538</v>
      </c>
      <c r="E48" s="2280"/>
      <c r="F48" s="2280"/>
      <c r="G48" s="2280"/>
      <c r="H48" s="2280"/>
      <c r="I48" s="2307"/>
      <c r="J48" s="2277"/>
      <c r="K48" s="1371"/>
      <c r="L48" s="1372"/>
      <c r="P48" s="2278"/>
      <c r="Q48" s="2278"/>
      <c r="R48" s="364"/>
      <c r="S48" s="1286"/>
      <c r="T48" s="295" t="s">
        <v>503</v>
      </c>
      <c r="U48" s="375"/>
      <c r="V48" s="375"/>
      <c r="W48" s="375"/>
      <c r="X48" s="375"/>
      <c r="Y48" s="375"/>
      <c r="Z48" s="375"/>
      <c r="AA48" s="375"/>
      <c r="AB48" s="375"/>
      <c r="AC48" s="375"/>
      <c r="AD48" s="375"/>
      <c r="AE48" s="375"/>
      <c r="AF48" s="375"/>
      <c r="AG48" s="375"/>
      <c r="AH48" s="375"/>
      <c r="AI48" s="375"/>
      <c r="AJ48" s="375"/>
      <c r="AK48" s="1266" t="s">
        <v>504</v>
      </c>
      <c r="AM48" s="508"/>
      <c r="AN48" s="508" t="str">
        <f>IF(T48="","",T48)</f>
        <v>Добавить значение признака дифференциации</v>
      </c>
      <c r="AO48" s="508"/>
      <c r="AP48" s="508"/>
      <c r="AQ48" s="1163">
        <v>20</v>
      </c>
    </row>
    <row customHeight="1" ht="22.049999999999997">
      <c r="A49" s="1371" t="s">
        <v>288</v>
      </c>
      <c r="B49" s="1371" t="s">
        <v>289</v>
      </c>
      <c r="C49" s="1371" t="s">
        <v>290</v>
      </c>
      <c r="D49" s="1371" t="s">
        <v>538</v>
      </c>
      <c r="E49" s="2280"/>
      <c r="F49" s="2280"/>
      <c r="G49" s="2280"/>
      <c r="H49" s="2280"/>
      <c r="I49" s="2277"/>
      <c r="J49" s="1371"/>
      <c r="K49" s="1371"/>
      <c r="L49" s="1372"/>
      <c r="P49" s="2278"/>
      <c r="Q49" s="1489"/>
      <c r="R49" s="364"/>
      <c r="S49" s="1286"/>
      <c r="T49" s="373" t="s">
        <v>429</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288</v>
      </c>
      <c r="B50" s="1371" t="s">
        <v>289</v>
      </c>
      <c r="C50" s="1371" t="s">
        <v>290</v>
      </c>
      <c r="D50" s="1371" t="s">
        <v>538</v>
      </c>
      <c r="E50" s="2280"/>
      <c r="F50" s="2280"/>
      <c r="G50" s="2280"/>
      <c r="H50" s="2279"/>
      <c r="I50" s="1371"/>
      <c r="J50" s="1371"/>
      <c r="K50" s="1371"/>
      <c r="L50" s="1372"/>
      <c r="M50" s="1373"/>
      <c r="N50" s="1373"/>
      <c r="O50" s="545"/>
      <c r="P50" s="368"/>
      <c r="Q50" s="383"/>
      <c r="R50" s="363"/>
      <c r="S50" s="1286"/>
      <c r="T50" s="380" t="s">
        <v>505</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288</v>
      </c>
      <c r="B51" s="1351" t="s">
        <v>289</v>
      </c>
      <c r="C51" s="1322"/>
      <c r="D51" s="1322"/>
      <c r="E51" s="2280"/>
      <c r="F51" s="2279"/>
      <c r="G51" s="1322"/>
      <c r="H51" s="1322"/>
      <c r="I51" s="1322"/>
      <c r="J51" s="1322"/>
      <c r="K51" s="1322"/>
      <c r="L51" s="1502"/>
      <c r="M51" s="1329"/>
      <c r="N51" s="1329"/>
      <c r="P51" s="1324"/>
      <c r="Q51" s="1325"/>
      <c r="R51" s="1324"/>
      <c r="S51" s="1330"/>
      <c r="T51" s="1333" t="s">
        <v>432</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288</v>
      </c>
      <c r="B52" s="1351"/>
      <c r="C52" s="1351"/>
      <c r="D52" s="1351"/>
      <c r="E52" s="2279"/>
      <c r="F52" s="1351"/>
      <c r="G52" s="1351"/>
      <c r="H52" s="1351"/>
      <c r="I52" s="1351"/>
      <c r="J52" s="1351"/>
      <c r="K52" s="1351"/>
      <c r="L52" s="1354"/>
      <c r="M52" s="1329"/>
      <c r="N52" s="1329"/>
      <c r="O52" s="526"/>
      <c r="P52" s="388"/>
      <c r="Q52" s="1352"/>
      <c r="R52" s="388"/>
      <c r="S52" s="1330"/>
      <c r="T52" s="1333" t="s">
        <v>433</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465</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306"/>
      <c r="U55" s="2306"/>
      <c r="V55" s="2306"/>
      <c r="W55" s="2306"/>
      <c r="X55" s="2306"/>
      <c r="Y55" s="2306"/>
      <c r="Z55" s="2306"/>
      <c r="AA55" s="2306"/>
      <c r="AB55" s="2306"/>
      <c r="AC55" s="2306"/>
      <c r="AD55" s="2306"/>
      <c r="AE55" s="2306"/>
      <c r="AF55" s="2306"/>
      <c r="AG55" s="2306"/>
      <c r="AH55" s="2306"/>
      <c r="AI55" s="2306"/>
      <c r="AJ55" s="2306"/>
      <c r="AK55" s="2306"/>
      <c r="AQ55" s="1163">
        <v>14</v>
      </c>
    </row>
    <row customHeight="1" ht="14.699999999999998">
      <c r="O56" s="545"/>
      <c r="AQ56" s="1163">
        <v>14</v>
      </c>
    </row>
    <row customHeight="1" ht="14.699999999999998">
      <c r="O57" s="545"/>
      <c r="S57" s="1261"/>
      <c r="T57" s="2306"/>
      <c r="U57" s="2306"/>
      <c r="V57" s="2306"/>
      <c r="W57" s="2306"/>
      <c r="X57" s="2306"/>
      <c r="Y57" s="2306"/>
      <c r="Z57" s="2306"/>
      <c r="AA57" s="2306"/>
      <c r="AB57" s="2306"/>
      <c r="AC57" s="2306"/>
      <c r="AD57" s="2306"/>
      <c r="AE57" s="2306"/>
      <c r="AF57" s="2306"/>
      <c r="AG57" s="2306"/>
      <c r="AH57" s="2306"/>
      <c r="AI57" s="2306"/>
      <c r="AJ57" s="2306"/>
      <c r="AK57" s="2306"/>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E5FE6-15A9-EC54-40B4-E9CECC2495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142</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414</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415</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533</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534</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419</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420</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518</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519</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539</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540</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522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485</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432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433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434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435</v>
      </c>
      <c r="P24" s="1516"/>
      <c r="Q24" s="1518"/>
      <c r="R24" s="1518"/>
      <c r="AA24" s="1515" t="s">
        <v>437</v>
      </c>
      <c r="AC24" s="1515" t="s">
        <v>438</v>
      </c>
      <c r="AD24" s="1515" t="s">
        <v>486</v>
      </c>
      <c r="AH24" s="1515" t="s">
        <v>486</v>
      </c>
      <c r="AK24" s="1515" t="s">
        <v>523</v>
      </c>
      <c r="AL24" s="1515" t="s">
        <v>486</v>
      </c>
      <c r="AP24" s="1515" t="s">
        <v>486</v>
      </c>
      <c r="AY24" s="1515" t="s">
        <v>437</v>
      </c>
      <c r="BA24" s="1515" t="s">
        <v>438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АО "ДГК"</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440</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441</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440</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441</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444</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444</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317</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318</v>
      </c>
      <c r="BI40" s="1163">
        <v>14</v>
      </c>
    </row>
    <row customHeight="1" ht="14.699999999999998">
      <c r="Q41" s="299"/>
      <c r="R41" s="384"/>
      <c r="S41" s="2294" t="s">
        <v>88</v>
      </c>
      <c r="T41" s="2230" t="s">
        <v>524</v>
      </c>
      <c r="U41" s="309"/>
      <c r="V41" s="2295" t="s">
        <v>446</v>
      </c>
      <c r="W41" s="2296"/>
      <c r="X41" s="2296"/>
      <c r="Y41" s="2296"/>
      <c r="Z41" s="2296"/>
      <c r="AA41" s="2296"/>
      <c r="AB41" s="2297"/>
      <c r="AC41" s="2298" t="s">
        <v>447</v>
      </c>
      <c r="AD41" s="2349" t="s">
        <v>541</v>
      </c>
      <c r="AE41" s="2312"/>
      <c r="AF41" s="2312"/>
      <c r="AG41" s="2350"/>
      <c r="AH41" s="2349" t="s">
        <v>542</v>
      </c>
      <c r="AI41" s="2312"/>
      <c r="AJ41" s="2312"/>
      <c r="AK41" s="2350"/>
      <c r="AL41" s="2349" t="s">
        <v>543</v>
      </c>
      <c r="AM41" s="2312"/>
      <c r="AN41" s="2312"/>
      <c r="AO41" s="2350"/>
      <c r="AP41" s="2349" t="s">
        <v>528</v>
      </c>
      <c r="AQ41" s="2312"/>
      <c r="AR41" s="2312"/>
      <c r="AS41" s="2350"/>
      <c r="AT41" s="2295" t="s">
        <v>446</v>
      </c>
      <c r="AU41" s="2296"/>
      <c r="AV41" s="2296"/>
      <c r="AW41" s="2296"/>
      <c r="AX41" s="2296"/>
      <c r="AY41" s="2296"/>
      <c r="AZ41" s="2297"/>
      <c r="BA41" s="2298" t="s">
        <v>447</v>
      </c>
      <c r="BB41" s="2301" t="s">
        <v>449</v>
      </c>
      <c r="BC41" s="2148"/>
      <c r="BI41" s="1163">
        <v>14</v>
      </c>
    </row>
    <row customHeight="1" ht="35.699999999999996">
      <c r="Q42" s="299"/>
      <c r="R42" s="384"/>
      <c r="S42" s="2294"/>
      <c r="T42" s="2230"/>
      <c r="U42" s="1039"/>
      <c r="V42" s="2213" t="s">
        <v>529</v>
      </c>
      <c r="W42" s="2214"/>
      <c r="X42" s="2213" t="s">
        <v>530</v>
      </c>
      <c r="Y42" s="2214"/>
      <c r="Z42" s="2315" t="s">
        <v>531</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544</v>
      </c>
      <c r="AU42" s="2214"/>
      <c r="AV42" s="2213" t="s">
        <v>545</v>
      </c>
      <c r="AW42" s="2214"/>
      <c r="AX42" s="2315" t="s">
        <v>531</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154</v>
      </c>
      <c r="C44" s="1378" t="s">
        <v>155</v>
      </c>
      <c r="D44" s="1378" t="s">
        <v>156</v>
      </c>
      <c r="E44" s="1372" t="s">
        <v>454</v>
      </c>
      <c r="F44" s="1372" t="s">
        <v>455</v>
      </c>
      <c r="G44" s="1372" t="s">
        <v>456</v>
      </c>
      <c r="H44" s="1372" t="s">
        <v>457</v>
      </c>
      <c r="I44" s="1372" t="s">
        <v>458</v>
      </c>
      <c r="J44" s="1372" t="s">
        <v>459</v>
      </c>
      <c r="K44" s="1372" t="s">
        <v>460</v>
      </c>
      <c r="L44" s="1372" t="s">
        <v>435</v>
      </c>
      <c r="Q44" s="299"/>
      <c r="R44" s="384"/>
      <c r="S44" s="2294"/>
      <c r="T44" s="2230"/>
      <c r="U44" s="310"/>
      <c r="V44" s="1487" t="s">
        <v>495</v>
      </c>
      <c r="W44" s="1487" t="s">
        <v>496</v>
      </c>
      <c r="X44" s="1487" t="s">
        <v>495</v>
      </c>
      <c r="Y44" s="1487" t="s">
        <v>496</v>
      </c>
      <c r="Z44" s="1497" t="s">
        <v>463</v>
      </c>
      <c r="AA44" s="2291" t="s">
        <v>464</v>
      </c>
      <c r="AB44" s="2292"/>
      <c r="AC44" s="2300"/>
      <c r="AD44" s="2354"/>
      <c r="AE44" s="2355"/>
      <c r="AF44" s="2355"/>
      <c r="AG44" s="2356"/>
      <c r="AH44" s="2354"/>
      <c r="AI44" s="2355"/>
      <c r="AJ44" s="2355"/>
      <c r="AK44" s="2356"/>
      <c r="AL44" s="2354"/>
      <c r="AM44" s="2355"/>
      <c r="AN44" s="2355"/>
      <c r="AO44" s="2356"/>
      <c r="AP44" s="2354"/>
      <c r="AQ44" s="2355"/>
      <c r="AR44" s="2355"/>
      <c r="AS44" s="2356"/>
      <c r="AT44" s="1487" t="s">
        <v>495</v>
      </c>
      <c r="AU44" s="1487" t="s">
        <v>496</v>
      </c>
      <c r="AV44" s="1487" t="s">
        <v>495</v>
      </c>
      <c r="AW44" s="1487" t="s">
        <v>496</v>
      </c>
      <c r="AX44" s="1497" t="s">
        <v>463</v>
      </c>
      <c r="AY44" s="2291" t="s">
        <v>464</v>
      </c>
      <c r="AZ44" s="2292"/>
      <c r="BA44" s="2300"/>
      <c r="BB44" s="2303"/>
      <c r="BC44" s="2148"/>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293</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142</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293</v>
      </c>
      <c r="B47" s="1371" t="s">
        <v>294</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414</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415</v>
      </c>
      <c r="BE47" s="508"/>
      <c r="BF47" s="508" t="str">
        <f>IF(T47="","",T47)</f>
        <v>Территория действия тарифа</v>
      </c>
      <c r="BG47" s="508"/>
      <c r="BH47" s="508"/>
      <c r="BI47" s="1163">
        <v>21</v>
      </c>
    </row>
    <row customHeight="1" ht="35.699999999999996">
      <c r="A48" s="1371" t="s">
        <v>293</v>
      </c>
      <c r="B48" s="1371" t="s">
        <v>294</v>
      </c>
      <c r="C48" s="1371" t="s">
        <v>295</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533</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534</v>
      </c>
      <c r="BE48" s="508"/>
      <c r="BF48" s="508" t="str">
        <f>IF(T48="","",T48)</f>
        <v>Наименование централизованной системы водоотведения</v>
      </c>
      <c r="BG48" s="508"/>
      <c r="BH48" s="508"/>
      <c r="BI48" s="1163">
        <v>34</v>
      </c>
    </row>
    <row s="1650" customFormat="1" customHeight="1" ht="0">
      <c r="A49" s="1351" t="s">
        <v>293</v>
      </c>
      <c r="B49" s="1351" t="s">
        <v>294</v>
      </c>
      <c r="C49" s="1351" t="s">
        <v>295</v>
      </c>
      <c r="D49" s="1351" t="s">
        <v>546</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419</v>
      </c>
      <c r="BE49" s="508"/>
      <c r="BF49" s="508" t="str">
        <f>IF(T49="","",T49)</f>
        <v/>
      </c>
      <c r="BG49" s="508"/>
      <c r="BH49" s="508"/>
      <c r="BI49" s="519">
        <v>0</v>
      </c>
    </row>
    <row s="1650" customFormat="1" customHeight="1" ht="0">
      <c r="A50" s="1351" t="s">
        <v>293</v>
      </c>
      <c r="B50" s="1351" t="s">
        <v>294</v>
      </c>
      <c r="C50" s="1351" t="s">
        <v>295</v>
      </c>
      <c r="D50" s="1351" t="s">
        <v>546</v>
      </c>
      <c r="E50" s="2280"/>
      <c r="F50" s="2280"/>
      <c r="G50" s="2280"/>
      <c r="H50" s="2280"/>
      <c r="I50" s="2277" t="str">
        <f>S49&amp;".1"</f>
        <v>.1</v>
      </c>
      <c r="J50" s="1351"/>
      <c r="K50" s="1351"/>
      <c r="L50" s="1354" t="s">
        <v>420</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293</v>
      </c>
      <c r="B51" s="1351" t="s">
        <v>294</v>
      </c>
      <c r="C51" s="1351" t="s">
        <v>295</v>
      </c>
      <c r="D51" s="1351" t="s">
        <v>546</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293</v>
      </c>
      <c r="B52" s="1371" t="s">
        <v>294</v>
      </c>
      <c r="C52" s="1371" t="s">
        <v>295</v>
      </c>
      <c r="D52" s="1371" t="s">
        <v>546</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518</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519</v>
      </c>
      <c r="AT53" s="1401"/>
      <c r="AU53" s="1504"/>
      <c r="AV53" s="1401"/>
      <c r="AW53" s="1504"/>
      <c r="AX53" s="1401"/>
      <c r="AY53" s="1401"/>
      <c r="AZ53" s="1401"/>
      <c r="BA53" s="1401"/>
      <c r="BB53" s="1405"/>
      <c r="BC53" s="2275"/>
      <c r="BE53" s="508"/>
      <c r="BF53" s="508"/>
      <c r="BG53" s="508"/>
      <c r="BH53" s="508"/>
      <c r="BI53" s="1163">
        <v>11</v>
      </c>
    </row>
    <row customHeight="1" ht="11.549999999999999">
      <c r="A54" s="1371" t="s">
        <v>293</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539</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293</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540</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293</v>
      </c>
      <c r="B56" s="1371" t="s">
        <v>294</v>
      </c>
      <c r="C56" s="1371" t="s">
        <v>295</v>
      </c>
      <c r="D56" s="1371" t="s">
        <v>546</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522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293</v>
      </c>
      <c r="B57" s="1371" t="s">
        <v>294</v>
      </c>
      <c r="C57" s="1371" t="s">
        <v>295</v>
      </c>
      <c r="D57" s="1371" t="s">
        <v>546</v>
      </c>
      <c r="E57" s="2280"/>
      <c r="F57" s="2280"/>
      <c r="G57" s="2280"/>
      <c r="H57" s="2280"/>
      <c r="I57" s="2307"/>
      <c r="J57" s="2277"/>
      <c r="K57" s="1371"/>
      <c r="L57" s="1372"/>
      <c r="P57" s="2278"/>
      <c r="Q57" s="2278"/>
      <c r="R57" s="364"/>
      <c r="S57" s="1286"/>
      <c r="T57" s="295" t="s">
        <v>485</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293</v>
      </c>
      <c r="B58" s="1351" t="s">
        <v>294</v>
      </c>
      <c r="C58" s="1351" t="s">
        <v>295</v>
      </c>
      <c r="D58" s="1351" t="s">
        <v>546</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293</v>
      </c>
      <c r="B59" s="1351" t="s">
        <v>294</v>
      </c>
      <c r="C59" s="1351" t="s">
        <v>295</v>
      </c>
      <c r="D59" s="1351" t="s">
        <v>546</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293</v>
      </c>
      <c r="B60" s="1351" t="s">
        <v>294</v>
      </c>
      <c r="C60" s="1351" t="s">
        <v>295</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293</v>
      </c>
      <c r="B61" s="1351" t="s">
        <v>294</v>
      </c>
      <c r="C61" s="1322"/>
      <c r="D61" s="1322"/>
      <c r="E61" s="2280"/>
      <c r="F61" s="2279"/>
      <c r="G61" s="1322"/>
      <c r="H61" s="1322"/>
      <c r="I61" s="1322"/>
      <c r="J61" s="1322"/>
      <c r="K61" s="1322"/>
      <c r="L61" s="1502"/>
      <c r="M61" s="1329"/>
      <c r="N61" s="1329"/>
      <c r="P61" s="1324"/>
      <c r="Q61" s="1325"/>
      <c r="R61" s="1324"/>
      <c r="S61" s="1330"/>
      <c r="T61" s="1333" t="s">
        <v>432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293</v>
      </c>
      <c r="B62" s="1351"/>
      <c r="C62" s="1351"/>
      <c r="D62" s="1351"/>
      <c r="E62" s="2279"/>
      <c r="F62" s="1351"/>
      <c r="G62" s="1351"/>
      <c r="H62" s="1351"/>
      <c r="I62" s="1351"/>
      <c r="J62" s="1351"/>
      <c r="K62" s="1351"/>
      <c r="L62" s="1354"/>
      <c r="M62" s="1329"/>
      <c r="N62" s="1329"/>
      <c r="O62" s="526"/>
      <c r="P62" s="388"/>
      <c r="Q62" s="1352"/>
      <c r="R62" s="388"/>
      <c r="S62" s="1330"/>
      <c r="T62" s="1333" t="s">
        <v>433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465</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B5202-DD94-5FB6-FFF2-C4550443E306}"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47"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6" customFormat="1" customHeight="1" ht="3">
      <c r="A3" s="766"/>
      <c r="B3" s="425"/>
      <c r="C3" s="766"/>
      <c r="D3" s="172"/>
      <c r="E3" s="111"/>
      <c r="F3" s="517"/>
      <c r="G3" s="111"/>
      <c r="H3" s="111"/>
      <c r="I3" s="174"/>
      <c r="J3" s="255"/>
      <c r="K3" s="163"/>
      <c r="L3" s="163"/>
      <c r="M3" s="163"/>
      <c r="N3" s="234"/>
      <c r="O3" s="163"/>
      <c r="P3" s="233"/>
      <c r="Q3" s="233"/>
      <c r="R3" s="233"/>
      <c r="S3" s="233"/>
      <c r="AC3" s="124">
        <v>3</v>
      </c>
    </row>
    <row s="1826" customFormat="1" customHeight="1" ht="27.299999999999997">
      <c r="A4" s="766"/>
      <c r="B4" s="425"/>
      <c r="C4" s="766"/>
      <c r="D4" s="172"/>
      <c r="E4" s="2121" t="str">
        <f>NameTemplatesInListMO</f>
        <v>Перечень муниципальных районов и муниципальных образований (территорий оказания услуг)</v>
      </c>
      <c r="F4" s="2121"/>
      <c r="G4" s="2121"/>
      <c r="H4" s="2121"/>
      <c r="I4" s="2121"/>
      <c r="J4" s="255"/>
      <c r="K4" s="163"/>
      <c r="L4" s="163"/>
      <c r="M4" s="163"/>
      <c r="N4" s="234"/>
      <c r="O4" s="163"/>
      <c r="P4" s="233"/>
      <c r="Q4" s="233"/>
      <c r="R4" s="233"/>
      <c r="S4" s="233"/>
      <c r="AC4" s="124">
        <v>26</v>
      </c>
    </row>
    <row s="1826" customFormat="1" customHeight="1" ht="3">
      <c r="A5" s="766"/>
      <c r="B5" s="425"/>
      <c r="C5" s="766"/>
      <c r="D5" s="172"/>
      <c r="E5" s="111"/>
      <c r="F5" s="517"/>
      <c r="G5" s="175"/>
      <c r="H5" s="175"/>
      <c r="I5" s="176"/>
      <c r="J5" s="163"/>
      <c r="K5" s="163"/>
      <c r="L5" s="163"/>
      <c r="M5" s="163"/>
      <c r="N5" s="234"/>
      <c r="O5" s="163"/>
      <c r="P5" s="233"/>
      <c r="Q5" s="233"/>
      <c r="R5" s="233"/>
      <c r="S5" s="233"/>
      <c r="AC5" s="124">
        <v>3</v>
      </c>
    </row>
    <row s="1826"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6" customFormat="1" customHeight="1" ht="14.699999999999998">
      <c r="A8" s="766"/>
      <c r="B8" s="425"/>
      <c r="C8" s="766"/>
      <c r="D8" s="172"/>
      <c r="E8" s="2122" t="s">
        <v>86</v>
      </c>
      <c r="F8" s="2123"/>
      <c r="G8" s="2124"/>
      <c r="H8" s="2125" t="s">
        <v>87</v>
      </c>
      <c r="I8" s="2125"/>
      <c r="J8" s="163"/>
      <c r="K8" s="163"/>
      <c r="L8" s="163"/>
      <c r="M8" s="163"/>
      <c r="N8" s="234"/>
      <c r="O8" s="163"/>
      <c r="P8" s="233"/>
      <c r="Q8" s="233"/>
      <c r="R8" s="233"/>
      <c r="S8" s="233"/>
      <c r="AC8" s="124">
        <v>14</v>
      </c>
    </row>
    <row s="1826"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6"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6" customFormat="1" customHeight="1" ht="15">
      <c r="A12" s="2120">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5" customFormat="1" customHeight="1" ht="15.75">
      <c r="A13" s="2120"/>
      <c r="B13" s="425">
        <v>1</v>
      </c>
      <c r="C13" s="425"/>
      <c r="D13" s="808"/>
      <c r="E13" s="788" t="str">
        <f>A12&amp;"."&amp;B13</f>
        <v>1.1</v>
      </c>
      <c r="F13" s="803" t="s">
        <v>93</v>
      </c>
      <c r="G13" s="801" t="s">
        <v>99</v>
      </c>
      <c r="H13" s="801" t="s">
        <v>99</v>
      </c>
      <c r="I13" s="799" t="s">
        <v>100</v>
      </c>
      <c r="J13" s="508">
        <f>MERGEVALUE(G13)</f>
      </c>
      <c r="K13" s="519"/>
      <c r="L13" s="519"/>
      <c r="M13" s="508" t="str">
        <f t="array" ref="M13:M13">IF(ISERROR(MATCH(MID(N13,1,250),MID(note_ter,1,250),0)),"n","y")</f>
        <v>n</v>
      </c>
      <c r="N13" s="519"/>
      <c r="O13" s="508" t="str">
        <f>H13&amp;"("&amp;I13&amp;")"</f>
        <v>Город Благовещенск(10701000)</v>
      </c>
      <c r="P13" s="425"/>
      <c r="Q13" s="425"/>
      <c r="R13" s="428"/>
      <c r="S13" s="425"/>
      <c r="T13" s="425"/>
      <c r="U13" s="425"/>
      <c r="V13" s="430"/>
      <c r="W13" s="430"/>
      <c r="X13" s="427"/>
      <c r="Y13" s="427"/>
      <c r="Z13" s="427"/>
      <c r="AA13" s="427"/>
      <c r="AB13" s="427"/>
      <c r="AC13" s="431">
        <v>15</v>
      </c>
    </row>
    <row s="1855" customFormat="1" customHeight="1" ht="15.75">
      <c r="A14" s="2120"/>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38" t="s">
        <v>102</v>
      </c>
      <c r="B15" s="1168"/>
      <c r="C15" s="809" t="s">
        <v>103</v>
      </c>
      <c r="D15" s="1825"/>
      <c r="E15" s="1812" t="str">
        <f>A15</f>
        <v>2</v>
      </c>
      <c r="F15" s="812" t="s">
        <v>104</v>
      </c>
      <c r="G15" s="548" t="str">
        <f>"Территория "&amp;E15</f>
        <v>Территория 2</v>
      </c>
      <c r="H15" s="800"/>
      <c r="I15" s="800"/>
      <c r="J15" s="797"/>
      <c r="K15" s="1632"/>
      <c r="L15" s="1632"/>
      <c r="M15" s="1632"/>
      <c r="N15" s="234"/>
      <c r="O15" s="1632"/>
      <c r="P15" s="233"/>
      <c r="Q15" s="233"/>
      <c r="R15" s="233"/>
      <c r="S15" s="233"/>
      <c r="T15" s="1826"/>
      <c r="U15" s="1826"/>
      <c r="V15" s="1826"/>
      <c r="W15" s="1826"/>
      <c r="X15" s="1826"/>
      <c r="Y15" s="1826"/>
      <c r="Z15" s="1826"/>
      <c r="AA15" s="1826"/>
      <c r="AB15" s="1826"/>
      <c r="AC15" s="1826"/>
    </row>
    <row customHeight="1" ht="15">
      <c r="A16" s="2238"/>
      <c r="B16" s="1168">
        <v>1</v>
      </c>
      <c r="C16" s="1168"/>
      <c r="D16" s="808"/>
      <c r="E16" s="1820" t="str">
        <f>A15&amp;"."&amp;B16</f>
        <v>2.1</v>
      </c>
      <c r="F16" s="811" t="s">
        <v>105</v>
      </c>
      <c r="G16" s="801" t="s">
        <v>106</v>
      </c>
      <c r="H16" s="801" t="s">
        <v>106</v>
      </c>
      <c r="I16" s="799" t="s">
        <v>107</v>
      </c>
      <c r="J16" s="1632"/>
      <c r="K16" s="1644"/>
      <c r="L16" s="1644"/>
      <c r="M16" s="1632" t="str">
        <f t="array" ref="M16:M16">IF(ISERROR(MATCH(MID(N16,1,250),MID(note_ter,1,250),0)),"n","y")</f>
        <v>n</v>
      </c>
      <c r="N16" s="1644"/>
      <c r="O16" s="1632" t="str">
        <f>H16&amp;"("&amp;I16&amp;")"</f>
        <v>Прогресс(10775000)</v>
      </c>
      <c r="P16" s="1168"/>
      <c r="Q16" s="1168"/>
      <c r="R16" s="428"/>
      <c r="S16" s="1168"/>
      <c r="T16" s="1168"/>
      <c r="U16" s="1168"/>
      <c r="V16" s="430"/>
      <c r="W16" s="430"/>
      <c r="X16" s="427"/>
      <c r="Y16" s="427"/>
      <c r="Z16" s="427"/>
      <c r="AA16" s="427"/>
      <c r="AB16" s="427"/>
      <c r="AC16" s="427"/>
    </row>
    <row customHeight="1" ht="15">
      <c r="A17" s="2238"/>
      <c r="B17" s="1168"/>
      <c r="C17" s="420"/>
      <c r="D17" s="809"/>
      <c r="E17" s="429"/>
      <c r="F17" s="185"/>
      <c r="G17" s="423" t="s">
        <v>101</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customHeight="1" ht="15">
      <c r="A18" s="2238" t="s">
        <v>90</v>
      </c>
      <c r="B18" s="1168"/>
      <c r="C18" s="809" t="s">
        <v>103</v>
      </c>
      <c r="D18" s="1825"/>
      <c r="E18" s="1812" t="str">
        <f>A18</f>
        <v>3</v>
      </c>
      <c r="F18" s="812" t="s">
        <v>108</v>
      </c>
      <c r="G18" s="548" t="str">
        <f>"Территория "&amp;E18</f>
        <v>Территория 3</v>
      </c>
      <c r="H18" s="800"/>
      <c r="I18" s="800"/>
      <c r="J18" s="797"/>
      <c r="K18" s="1632"/>
      <c r="L18" s="1632"/>
      <c r="M18" s="1632"/>
      <c r="N18" s="234"/>
      <c r="O18" s="1632"/>
      <c r="P18" s="233"/>
      <c r="Q18" s="233"/>
      <c r="R18" s="233"/>
      <c r="S18" s="233"/>
      <c r="T18" s="1826"/>
      <c r="U18" s="1826"/>
      <c r="V18" s="1826"/>
      <c r="W18" s="1826"/>
      <c r="X18" s="1826"/>
      <c r="Y18" s="1826"/>
      <c r="Z18" s="1826"/>
      <c r="AA18" s="1826"/>
      <c r="AB18" s="1826"/>
      <c r="AC18" s="1826"/>
    </row>
    <row customHeight="1" ht="15">
      <c r="A19" s="2238"/>
      <c r="B19" s="1168">
        <v>1</v>
      </c>
      <c r="C19" s="1168"/>
      <c r="D19" s="808"/>
      <c r="E19" s="1820" t="str">
        <f>A18&amp;"."&amp;B19</f>
        <v>3.1</v>
      </c>
      <c r="F19" s="811" t="s">
        <v>91</v>
      </c>
      <c r="G19" s="801" t="s">
        <v>109</v>
      </c>
      <c r="H19" s="801" t="s">
        <v>110</v>
      </c>
      <c r="I19" s="799" t="s">
        <v>111</v>
      </c>
      <c r="J19" s="1632"/>
      <c r="K19" s="1644"/>
      <c r="L19" s="1644"/>
      <c r="M19" s="1632" t="str">
        <f t="array" ref="M19:M19">IF(ISERROR(MATCH(MID(N19,1,250),MID(note_ter,1,250),0)),"n","y")</f>
        <v>n</v>
      </c>
      <c r="N19" s="1644"/>
      <c r="O19" s="1632" t="str">
        <f>H19&amp;"("&amp;I19&amp;")"</f>
        <v>Территория упразднённого муниципального образования Чигиринский сельсовет(10511440)</v>
      </c>
      <c r="P19" s="1168"/>
      <c r="Q19" s="1168"/>
      <c r="R19" s="428"/>
      <c r="S19" s="1168"/>
      <c r="T19" s="1168"/>
      <c r="U19" s="1168"/>
      <c r="V19" s="430"/>
      <c r="W19" s="430"/>
      <c r="X19" s="427"/>
      <c r="Y19" s="427"/>
      <c r="Z19" s="427"/>
      <c r="AA19" s="427"/>
      <c r="AB19" s="427"/>
      <c r="AC19" s="427"/>
    </row>
    <row customHeight="1" ht="15">
      <c r="A20" s="2238"/>
      <c r="B20" s="1168"/>
      <c r="C20" s="420"/>
      <c r="D20" s="809"/>
      <c r="E20" s="429"/>
      <c r="F20" s="185"/>
      <c r="G20" s="423" t="s">
        <v>101</v>
      </c>
      <c r="H20" s="195"/>
      <c r="I20" s="432"/>
      <c r="J20" s="1644"/>
      <c r="K20" s="1644"/>
      <c r="L20" s="1644"/>
      <c r="M20" s="1644"/>
      <c r="N20" s="1632"/>
      <c r="O20" s="1644"/>
      <c r="P20" s="1168"/>
      <c r="Q20" s="1168"/>
      <c r="R20" s="428"/>
      <c r="S20" s="1168"/>
      <c r="T20" s="1168"/>
      <c r="U20" s="1168"/>
      <c r="V20" s="430"/>
      <c r="W20" s="430"/>
      <c r="X20" s="427"/>
      <c r="Y20" s="427"/>
      <c r="Z20" s="427"/>
      <c r="AA20" s="427"/>
      <c r="AB20" s="427"/>
      <c r="AC20" s="427"/>
    </row>
    <row s="1826" customFormat="1" customHeight="1" ht="14.699999999999998">
      <c r="A21" s="766"/>
      <c r="B21" s="425"/>
      <c r="C21" s="766"/>
      <c r="D21" s="790"/>
      <c r="E21" s="802"/>
      <c r="F21" s="186"/>
      <c r="G21" s="424" t="s">
        <v>112</v>
      </c>
      <c r="H21" s="186"/>
      <c r="I21" s="187"/>
      <c r="J21" s="257"/>
      <c r="K21" s="163"/>
      <c r="L21" s="163"/>
      <c r="M21" s="163"/>
      <c r="N21" s="234" t="s">
        <v>113</v>
      </c>
      <c r="O21" s="163"/>
      <c r="P21" s="233"/>
      <c r="Q21" s="233"/>
      <c r="R21" s="233"/>
      <c r="S21" s="233"/>
      <c r="AC21" s="124">
        <v>14</v>
      </c>
    </row>
    <row s="1826" customFormat="1" customHeight="1" ht="22.049999999999997">
      <c r="A22" s="766"/>
      <c r="B22" s="425"/>
      <c r="C22" s="766"/>
      <c r="D22" s="173"/>
      <c r="E22" s="188"/>
      <c r="F22" s="188"/>
      <c r="G22" s="188"/>
      <c r="H22" s="188"/>
      <c r="I22" s="188"/>
      <c r="J22" s="163"/>
      <c r="K22" s="163"/>
      <c r="L22" s="163"/>
      <c r="M22" s="163"/>
      <c r="N22" s="234"/>
      <c r="O22" s="163"/>
      <c r="P22" s="233"/>
      <c r="Q22" s="233"/>
      <c r="R22" s="233"/>
      <c r="S22" s="233"/>
      <c r="AC22" s="124">
        <v>21</v>
      </c>
    </row>
    <row s="1826" customFormat="1" customHeight="1" ht="14.699999999999998">
      <c r="A23" s="766"/>
      <c r="B23" s="425"/>
      <c r="C23" s="766"/>
      <c r="D23" s="173"/>
      <c r="E23" s="91"/>
      <c r="F23" s="766"/>
      <c r="G23" s="91"/>
      <c r="H23" s="91"/>
      <c r="I23" s="91"/>
      <c r="J23" s="163"/>
      <c r="K23" s="163"/>
      <c r="L23" s="163"/>
      <c r="M23" s="163"/>
      <c r="N23" s="234"/>
      <c r="O23" s="163"/>
      <c r="P23" s="233"/>
      <c r="Q23" s="233"/>
      <c r="R23" s="233"/>
      <c r="S23" s="233"/>
      <c r="AC23" s="124">
        <v>14</v>
      </c>
    </row>
    <row s="1826" customFormat="1" customHeight="1" ht="1.05">
      <c r="A24" s="766"/>
      <c r="B24" s="425"/>
      <c r="C24" s="766"/>
      <c r="D24" s="173"/>
      <c r="E24" s="91"/>
      <c r="F24" s="766"/>
      <c r="G24" s="91"/>
      <c r="H24" s="91"/>
      <c r="I24" s="91"/>
      <c r="J24" s="163"/>
      <c r="K24" s="163"/>
      <c r="L24" s="163"/>
      <c r="M24" s="163"/>
      <c r="N24" s="234"/>
      <c r="O24" s="163"/>
      <c r="P24" s="233"/>
      <c r="Q24" s="233"/>
      <c r="R24" s="233"/>
      <c r="S24" s="233"/>
      <c r="AC24" s="124">
        <v>1</v>
      </c>
    </row>
    <row s="1072" customFormat="1" customHeight="1" ht="10.5">
      <c r="B25" s="842"/>
      <c r="D25" s="190"/>
      <c r="J25" s="163"/>
      <c r="K25" s="163"/>
      <c r="L25" s="163"/>
      <c r="M25" s="163"/>
      <c r="N25" s="234"/>
      <c r="O25" s="163"/>
      <c r="P25" s="233"/>
      <c r="Q25" s="233"/>
      <c r="R25" s="233"/>
      <c r="S25" s="233"/>
      <c r="AC25" s="189">
        <v>10</v>
      </c>
    </row>
    <row s="1072" customFormat="1" customHeight="1" ht="10.5">
      <c r="B26" s="842"/>
      <c r="D26" s="190"/>
      <c r="J26" s="163"/>
      <c r="K26" s="163"/>
      <c r="L26" s="163"/>
      <c r="M26" s="163"/>
      <c r="N26" s="234"/>
      <c r="O26" s="163"/>
      <c r="P26" s="233"/>
      <c r="Q26" s="233"/>
      <c r="R26" s="233"/>
      <c r="S26" s="233"/>
      <c r="AC26" s="189">
        <v>10</v>
      </c>
    </row>
    <row customHeight="1" ht="14.699999999999998">
      <c r="AC27" s="91">
        <v>14</v>
      </c>
    </row>
    <row customHeight="1" ht="14.699999999999998">
      <c r="AC28" s="91">
        <v>14</v>
      </c>
    </row>
    <row customHeight="1" ht="14.699999999999998">
      <c r="AC29" s="91">
        <v>14</v>
      </c>
    </row>
    <row customHeight="1" ht="14.699999999999998">
      <c r="H30" s="72"/>
      <c r="AC30" s="91">
        <v>14</v>
      </c>
    </row>
    <row customHeight="1" ht="14.699999999999998">
      <c r="AC31" s="91">
        <v>14</v>
      </c>
    </row>
    <row customHeight="1" ht="14.699999999999998">
      <c r="AC32" s="91">
        <v>14</v>
      </c>
    </row>
    <row customHeight="1" ht="14.699999999999998">
      <c r="AC33" s="91">
        <v>14</v>
      </c>
    </row>
    <row customHeight="1" ht="14.699999999999998">
      <c r="J34" s="91"/>
      <c r="K34" s="91"/>
      <c r="L34" s="91"/>
      <c r="AC34" s="91">
        <v>14</v>
      </c>
    </row>
    <row customHeight="1" ht="22.5" hidden="1">
      <c r="A35" s="766" t="s">
        <v>82</v>
      </c>
      <c r="B35" s="425">
        <v>0</v>
      </c>
      <c r="C35" s="766">
        <v>3</v>
      </c>
      <c r="D35" s="173">
        <v>3</v>
      </c>
      <c r="E35" s="91">
        <v>6</v>
      </c>
      <c r="F35" s="766">
        <v>0</v>
      </c>
      <c r="G35" s="91">
        <v>46</v>
      </c>
      <c r="H35" s="91">
        <v>42</v>
      </c>
      <c r="I35" s="91">
        <v>14</v>
      </c>
      <c r="J35" s="163">
        <v>3</v>
      </c>
      <c r="K35" s="163">
        <v>0</v>
      </c>
      <c r="L35" s="163">
        <v>0</v>
      </c>
      <c r="M35" s="163">
        <v>0</v>
      </c>
      <c r="N35" s="234">
        <v>0</v>
      </c>
      <c r="O35" s="163">
        <v>0</v>
      </c>
      <c r="P35" s="233">
        <v>0</v>
      </c>
      <c r="Q35" s="233">
        <v>0</v>
      </c>
      <c r="R35" s="233">
        <v>0</v>
      </c>
      <c r="S35" s="233">
        <v>0</v>
      </c>
      <c r="T35" s="91">
        <v>0</v>
      </c>
      <c r="U35" s="91">
        <v>0</v>
      </c>
      <c r="V35" s="91">
        <v>0</v>
      </c>
      <c r="W35" s="91">
        <v>0</v>
      </c>
      <c r="X35" s="91">
        <v>0</v>
      </c>
      <c r="Y35" s="91">
        <v>0</v>
      </c>
      <c r="Z35" s="91">
        <v>0</v>
      </c>
      <c r="AA35" s="91">
        <v>0</v>
      </c>
      <c r="AB35" s="91">
        <v>8</v>
      </c>
      <c r="AC35" s="9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0409C-2F7D-9A9A-4AE9-66E4ED399E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142</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414</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415</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547</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548</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500</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501</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423</v>
      </c>
      <c r="P6" s="2278"/>
      <c r="Q6" s="2278">
        <v>1</v>
      </c>
      <c r="R6" s="365"/>
      <c r="S6" s="1501">
        <f>$J6</f>
      </c>
      <c r="T6" s="294" t="s">
        <v>424</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502</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759"/>
      <c r="AC7" s="2286"/>
      <c r="AD7" s="2128" t="s">
        <v>61</v>
      </c>
      <c r="AE7" s="2286"/>
      <c r="AF7" s="2128" t="s">
        <v>61</v>
      </c>
      <c r="AG7" s="759"/>
      <c r="AH7" s="759"/>
      <c r="AI7" s="759"/>
      <c r="AJ7" s="759"/>
      <c r="AK7" s="759"/>
      <c r="AL7" s="759"/>
      <c r="AM7" s="759"/>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3"/>
      <c r="AC8" s="2287"/>
      <c r="AD8" s="2128"/>
      <c r="AE8" s="2287"/>
      <c r="AF8" s="2128"/>
      <c r="AG8" s="333"/>
      <c r="AH8" s="333"/>
      <c r="AI8" s="333"/>
      <c r="AJ8" s="333"/>
      <c r="AK8" s="333"/>
      <c r="AL8" s="333"/>
      <c r="AM8" s="333"/>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504</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429</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88"/>
      <c r="AO15" s="2289" t="s">
        <v>61</v>
      </c>
      <c r="AP15" s="2288"/>
      <c r="AQ15" s="2289" t="s">
        <v>61</v>
      </c>
      <c r="AY15" s="1163">
        <v>0</v>
      </c>
    </row>
    <row customHeight="1" ht="14.25" hidden="1">
      <c r="AG16" s="1368"/>
      <c r="AH16" s="1368"/>
      <c r="AI16" s="1368"/>
      <c r="AJ16" s="1368"/>
      <c r="AK16" s="1368"/>
      <c r="AL16" s="1368"/>
      <c r="AM16" s="1368"/>
      <c r="AN16" s="2289"/>
      <c r="AO16" s="2289"/>
      <c r="AP16" s="2289"/>
      <c r="AQ16" s="2289"/>
      <c r="AY16" s="1163">
        <v>0</v>
      </c>
    </row>
    <row customHeight="1" ht="14.25" hidden="1">
      <c r="AQ17" s="335"/>
      <c r="AY17" s="1163">
        <v>0</v>
      </c>
    </row>
    <row s="1374" customFormat="1" customHeight="1" ht="22.5" hidden="1">
      <c r="L18" s="1486"/>
      <c r="M18" s="1370"/>
      <c r="N18" s="1370"/>
      <c r="O18" s="1375" t="s">
        <v>434</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435</v>
      </c>
      <c r="P20" s="1370"/>
      <c r="Q20" s="1450"/>
      <c r="R20" s="1450"/>
      <c r="S20" s="737"/>
      <c r="T20" s="1168" t="s">
        <v>436</v>
      </c>
      <c r="W20" s="1374"/>
      <c r="X20" s="1374"/>
      <c r="Y20" s="1374"/>
      <c r="Z20" s="1374"/>
      <c r="AA20" s="1374"/>
      <c r="AB20" s="1374"/>
      <c r="AD20" s="194" t="s">
        <v>437</v>
      </c>
      <c r="AF20" s="194" t="s">
        <v>438</v>
      </c>
      <c r="AG20" s="1168" t="s">
        <v>436</v>
      </c>
      <c r="AH20" s="1374"/>
      <c r="AI20" s="1374"/>
      <c r="AJ20" s="1374"/>
      <c r="AK20" s="1374"/>
      <c r="AL20" s="1374"/>
      <c r="AO20" s="194" t="s">
        <v>439</v>
      </c>
      <c r="AQ20" s="194" t="s">
        <v>438</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444</v>
      </c>
      <c r="AG34" s="334"/>
      <c r="AH34" s="1643"/>
      <c r="AI34" s="1643"/>
      <c r="AJ34" s="1643"/>
      <c r="AK34" s="1643"/>
      <c r="AL34" s="1643"/>
      <c r="AM34" s="334"/>
      <c r="AN34" s="334"/>
      <c r="AO34" s="334"/>
      <c r="AP34" s="334"/>
      <c r="AQ34" s="286" t="s">
        <v>444</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318</v>
      </c>
      <c r="AY36" s="1163">
        <v>14</v>
      </c>
    </row>
    <row customHeight="1" ht="14.699999999999998">
      <c r="Q37" s="384"/>
      <c r="R37" s="384"/>
      <c r="S37" s="2294" t="s">
        <v>88</v>
      </c>
      <c r="T37" s="2230" t="s">
        <v>445</v>
      </c>
      <c r="U37" s="309"/>
      <c r="V37" s="2295" t="s">
        <v>446</v>
      </c>
      <c r="W37" s="2312"/>
      <c r="X37" s="2312"/>
      <c r="Y37" s="2312"/>
      <c r="Z37" s="2312"/>
      <c r="AA37" s="2312"/>
      <c r="AB37" s="2312"/>
      <c r="AC37" s="2296"/>
      <c r="AD37" s="2296"/>
      <c r="AE37" s="2297"/>
      <c r="AF37" s="2298" t="s">
        <v>447</v>
      </c>
      <c r="AG37" s="2295" t="s">
        <v>446</v>
      </c>
      <c r="AH37" s="2296"/>
      <c r="AI37" s="2296"/>
      <c r="AJ37" s="2296"/>
      <c r="AK37" s="2296"/>
      <c r="AL37" s="2296"/>
      <c r="AM37" s="2296"/>
      <c r="AN37" s="2296"/>
      <c r="AO37" s="2296"/>
      <c r="AP37" s="2297"/>
      <c r="AQ37" s="2298" t="s">
        <v>448</v>
      </c>
      <c r="AR37" s="2301" t="s">
        <v>449</v>
      </c>
      <c r="AS37" s="2148"/>
      <c r="AY37" s="1163">
        <v>14</v>
      </c>
    </row>
    <row customHeight="1" ht="19.95">
      <c r="Q38" s="384"/>
      <c r="R38" s="384"/>
      <c r="S38" s="2294"/>
      <c r="T38" s="2230"/>
      <c r="U38" s="1039"/>
      <c r="V38" s="2387" t="s">
        <v>549</v>
      </c>
      <c r="W38" s="2386" t="s">
        <v>550</v>
      </c>
      <c r="X38" s="2386"/>
      <c r="Y38" s="2386"/>
      <c r="Z38" s="2386" t="s">
        <v>551</v>
      </c>
      <c r="AA38" s="2386"/>
      <c r="AB38" s="2386"/>
      <c r="AC38" s="2315" t="s">
        <v>453</v>
      </c>
      <c r="AD38" s="2334"/>
      <c r="AE38" s="2335"/>
      <c r="AF38" s="2299"/>
      <c r="AG38" s="2387" t="s">
        <v>549</v>
      </c>
      <c r="AH38" s="2386" t="s">
        <v>550</v>
      </c>
      <c r="AI38" s="2386"/>
      <c r="AJ38" s="2386"/>
      <c r="AK38" s="2386" t="s">
        <v>551</v>
      </c>
      <c r="AL38" s="2386"/>
      <c r="AM38" s="2386"/>
      <c r="AN38" s="2315" t="s">
        <v>453</v>
      </c>
      <c r="AO38" s="2334"/>
      <c r="AP38" s="2335"/>
      <c r="AQ38" s="2299"/>
      <c r="AR38" s="2302"/>
      <c r="AS38" s="2148"/>
      <c r="AY38" s="1163">
        <v>19</v>
      </c>
    </row>
    <row s="1643" customFormat="1" customHeight="1" ht="19.95">
      <c r="A39" s="1374"/>
      <c r="B39" s="1374"/>
      <c r="C39" s="1374"/>
      <c r="D39" s="1374"/>
      <c r="E39" s="1374"/>
      <c r="F39" s="1374"/>
      <c r="G39" s="1374"/>
      <c r="H39" s="1374"/>
      <c r="I39" s="1374"/>
      <c r="J39" s="1374"/>
      <c r="K39" s="1374"/>
      <c r="L39" s="1956"/>
      <c r="M39" s="1370"/>
      <c r="N39" s="1370"/>
      <c r="O39" s="1370"/>
      <c r="P39" s="1970"/>
      <c r="Q39" s="384"/>
      <c r="R39" s="384"/>
      <c r="S39" s="2294"/>
      <c r="T39" s="2230"/>
      <c r="U39" s="1039"/>
      <c r="V39" s="2387"/>
      <c r="W39" s="2386" t="s">
        <v>552</v>
      </c>
      <c r="X39" s="2386" t="s">
        <v>553</v>
      </c>
      <c r="Y39" s="2386"/>
      <c r="Z39" s="2386" t="s">
        <v>554</v>
      </c>
      <c r="AA39" s="2386" t="s">
        <v>553</v>
      </c>
      <c r="AB39" s="2386"/>
      <c r="AC39" s="2316"/>
      <c r="AD39" s="2336"/>
      <c r="AE39" s="2337"/>
      <c r="AF39" s="2299"/>
      <c r="AG39" s="2387"/>
      <c r="AH39" s="2386" t="s">
        <v>552</v>
      </c>
      <c r="AI39" s="2386" t="s">
        <v>553</v>
      </c>
      <c r="AJ39" s="2386"/>
      <c r="AK39" s="2386" t="s">
        <v>554</v>
      </c>
      <c r="AL39" s="2386" t="s">
        <v>553</v>
      </c>
      <c r="AM39" s="2386"/>
      <c r="AN39" s="2316"/>
      <c r="AO39" s="2336"/>
      <c r="AP39" s="2337"/>
      <c r="AQ39" s="2299"/>
      <c r="AR39" s="2302"/>
      <c r="AS39" s="2148"/>
      <c r="AT39" s="1644"/>
      <c r="AU39" s="1644"/>
      <c r="AV39" s="1644"/>
      <c r="AW39" s="1644"/>
      <c r="AX39" s="1644"/>
      <c r="AY39" s="1639">
        <v>19</v>
      </c>
    </row>
    <row customHeight="1" ht="61.949999999999996">
      <c r="A40" s="1378"/>
      <c r="B40" s="1378" t="s">
        <v>154</v>
      </c>
      <c r="C40" s="1378" t="s">
        <v>155</v>
      </c>
      <c r="D40" s="1378" t="s">
        <v>156</v>
      </c>
      <c r="E40" s="1372" t="s">
        <v>454</v>
      </c>
      <c r="F40" s="1372" t="s">
        <v>455</v>
      </c>
      <c r="G40" s="1372" t="s">
        <v>456</v>
      </c>
      <c r="H40" s="1372"/>
      <c r="I40" s="1372" t="s">
        <v>507</v>
      </c>
      <c r="J40" s="1372" t="s">
        <v>459</v>
      </c>
      <c r="K40" s="1372" t="s">
        <v>508</v>
      </c>
      <c r="L40" s="1372" t="s">
        <v>435</v>
      </c>
      <c r="Q40" s="384"/>
      <c r="R40" s="384"/>
      <c r="S40" s="2294"/>
      <c r="T40" s="2230"/>
      <c r="U40" s="310"/>
      <c r="V40" s="2387"/>
      <c r="W40" s="2386"/>
      <c r="X40" s="1988" t="s">
        <v>555</v>
      </c>
      <c r="Y40" s="1988" t="s">
        <v>556</v>
      </c>
      <c r="Z40" s="2386"/>
      <c r="AA40" s="1988" t="s">
        <v>557</v>
      </c>
      <c r="AB40" s="1988" t="s">
        <v>558</v>
      </c>
      <c r="AC40" s="1497" t="s">
        <v>463</v>
      </c>
      <c r="AD40" s="2291" t="s">
        <v>464</v>
      </c>
      <c r="AE40" s="2292"/>
      <c r="AF40" s="2300"/>
      <c r="AG40" s="2387"/>
      <c r="AH40" s="2386"/>
      <c r="AI40" s="1988" t="s">
        <v>555</v>
      </c>
      <c r="AJ40" s="1988" t="s">
        <v>556</v>
      </c>
      <c r="AK40" s="2386"/>
      <c r="AL40" s="1988" t="s">
        <v>557</v>
      </c>
      <c r="AM40" s="1988" t="s">
        <v>558</v>
      </c>
      <c r="AN40" s="1497" t="s">
        <v>463</v>
      </c>
      <c r="AO40" s="2291" t="s">
        <v>464</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349"/>
      <c r="X41" s="1349"/>
      <c r="Y41" s="1349"/>
      <c r="Z41" s="1349"/>
      <c r="AA41" s="1349"/>
      <c r="AB41" s="1349"/>
      <c r="AC41" s="1490">
        <f>OFFSET(AC41,0,-1)+1</f>
        <v>1</v>
      </c>
      <c r="AD41" s="2293">
        <f>OFFSET(AD41,0,-1)+1</f>
        <v>2</v>
      </c>
      <c r="AE41" s="2293"/>
      <c r="AF41" s="1490">
        <f>OFFSET(AF41,0,-2)+1</f>
        <v>3</v>
      </c>
      <c r="AG41" s="1490">
        <f>OFFSET(AG41,0,-1)+1</f>
        <v>4</v>
      </c>
      <c r="AH41" s="1961"/>
      <c r="AI41" s="1961"/>
      <c r="AJ41" s="1961"/>
      <c r="AK41" s="1961"/>
      <c r="AL41" s="1961"/>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268</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142</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268</v>
      </c>
      <c r="B43" s="1371" t="s">
        <v>269</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414</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415</v>
      </c>
      <c r="AU43" s="508"/>
      <c r="AV43" s="508" t="str">
        <f>IF(T43="","",T43)</f>
        <v>Территория действия тарифа</v>
      </c>
      <c r="AW43" s="508"/>
      <c r="AX43" s="508"/>
      <c r="AY43" s="1163">
        <v>23</v>
      </c>
    </row>
    <row customHeight="1" ht="24">
      <c r="A44" s="1371" t="s">
        <v>268</v>
      </c>
      <c r="B44" s="1371" t="s">
        <v>269</v>
      </c>
      <c r="C44" s="1371" t="s">
        <v>270</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547</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548</v>
      </c>
      <c r="AU44" s="508"/>
      <c r="AV44" s="508" t="str">
        <f>IF(T44="","",T44)</f>
        <v>Наименование централизованной системы горячего водоснабжения</v>
      </c>
      <c r="AW44" s="508"/>
      <c r="AX44" s="508"/>
      <c r="AY44" s="1163">
        <v>23</v>
      </c>
    </row>
    <row customHeight="1" ht="24">
      <c r="A45" s="1371" t="s">
        <v>268</v>
      </c>
      <c r="B45" s="1371" t="s">
        <v>269</v>
      </c>
      <c r="C45" s="1371" t="s">
        <v>270</v>
      </c>
      <c r="D45" s="1371" t="s">
        <v>559</v>
      </c>
      <c r="E45" s="2280"/>
      <c r="F45" s="2280"/>
      <c r="G45" s="2280"/>
      <c r="H45" s="2280"/>
      <c r="I45" s="2277" t="str">
        <f>S44&amp;".1"</f>
        <v>...1</v>
      </c>
      <c r="J45" s="1371"/>
      <c r="K45" s="1371"/>
      <c r="L45" s="1372"/>
      <c r="P45" s="2278">
        <v>1</v>
      </c>
      <c r="Q45" s="1489"/>
      <c r="R45" s="364"/>
      <c r="S45" s="1501" t="str">
        <f>$I45</f>
        <v>...1</v>
      </c>
      <c r="T45" s="293" t="s">
        <v>500</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501</v>
      </c>
      <c r="AU45" s="508"/>
      <c r="AV45" s="508" t="str">
        <f>IF(T45="","",T45)</f>
        <v>Наименование признака дифференциации</v>
      </c>
      <c r="AW45" s="508"/>
      <c r="AX45" s="508"/>
      <c r="AY45" s="1163">
        <v>23</v>
      </c>
    </row>
    <row customHeight="1" ht="24">
      <c r="A46" s="1371" t="s">
        <v>268</v>
      </c>
      <c r="B46" s="1371" t="s">
        <v>269</v>
      </c>
      <c r="C46" s="1371" t="s">
        <v>270</v>
      </c>
      <c r="D46" s="1371" t="s">
        <v>559</v>
      </c>
      <c r="E46" s="2280"/>
      <c r="F46" s="2280"/>
      <c r="G46" s="2280"/>
      <c r="H46" s="2280"/>
      <c r="I46" s="2307"/>
      <c r="J46" s="2277" t="str">
        <f>I45&amp;".1"</f>
        <v>...1.1</v>
      </c>
      <c r="K46" s="1371"/>
      <c r="L46" s="1372" t="s">
        <v>423</v>
      </c>
      <c r="P46" s="2278"/>
      <c r="Q46" s="2278">
        <v>1</v>
      </c>
      <c r="R46" s="365"/>
      <c r="S46" s="1501" t="str">
        <f>$J46</f>
        <v>...1.1</v>
      </c>
      <c r="T46" s="294" t="s">
        <v>424</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502</v>
      </c>
      <c r="AU46" s="508"/>
      <c r="AV46" s="508" t="str">
        <f>IF(T46="","",T46)</f>
        <v>Группа потребителей</v>
      </c>
      <c r="AW46" s="508"/>
      <c r="AX46" s="508"/>
      <c r="AY46" s="1163">
        <v>23</v>
      </c>
    </row>
    <row customHeight="1" ht="24">
      <c r="A47" s="1371" t="s">
        <v>268</v>
      </c>
      <c r="B47" s="1371" t="s">
        <v>269</v>
      </c>
      <c r="C47" s="1371" t="s">
        <v>270</v>
      </c>
      <c r="D47" s="1371" t="s">
        <v>559</v>
      </c>
      <c r="E47" s="2280"/>
      <c r="F47" s="2280"/>
      <c r="G47" s="2280"/>
      <c r="H47" s="2280"/>
      <c r="I47" s="2307"/>
      <c r="J47" s="2307"/>
      <c r="K47" s="2277" t="str">
        <f>J46&amp;".1"</f>
        <v>...1.1.1</v>
      </c>
      <c r="L47" s="1372"/>
      <c r="P47" s="2278"/>
      <c r="Q47" s="2278"/>
      <c r="R47" s="365">
        <v>1</v>
      </c>
      <c r="S47" s="1501" t="str">
        <f>$K47</f>
        <v>...1.1.1</v>
      </c>
      <c r="T47" s="1445"/>
      <c r="U47" s="308"/>
      <c r="V47" s="759"/>
      <c r="W47" s="759"/>
      <c r="X47" s="759"/>
      <c r="Y47" s="759"/>
      <c r="Z47" s="759"/>
      <c r="AA47" s="759"/>
      <c r="AB47" s="759"/>
      <c r="AC47" s="2288"/>
      <c r="AD47" s="2289" t="s">
        <v>61</v>
      </c>
      <c r="AE47" s="2288"/>
      <c r="AF47" s="2289" t="s">
        <v>61</v>
      </c>
      <c r="AG47" s="759"/>
      <c r="AH47" s="759"/>
      <c r="AI47" s="759"/>
      <c r="AJ47" s="759"/>
      <c r="AK47" s="759"/>
      <c r="AL47" s="759"/>
      <c r="AM47" s="759"/>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268</v>
      </c>
      <c r="B48" s="1371" t="s">
        <v>269</v>
      </c>
      <c r="C48" s="1371" t="s">
        <v>270</v>
      </c>
      <c r="D48" s="1371" t="s">
        <v>559</v>
      </c>
      <c r="E48" s="2280"/>
      <c r="F48" s="2280"/>
      <c r="G48" s="2280"/>
      <c r="H48" s="2280"/>
      <c r="I48" s="2307"/>
      <c r="J48" s="2307"/>
      <c r="K48" s="2277"/>
      <c r="L48" s="1372"/>
      <c r="P48" s="2278"/>
      <c r="Q48" s="2278"/>
      <c r="R48" s="365"/>
      <c r="S48" s="1498"/>
      <c r="T48" s="308"/>
      <c r="U48" s="308"/>
      <c r="V48" s="1368"/>
      <c r="W48" s="1368"/>
      <c r="X48" s="1368"/>
      <c r="Y48" s="1368"/>
      <c r="Z48" s="1368"/>
      <c r="AA48" s="1368"/>
      <c r="AB48" s="1368"/>
      <c r="AC48" s="2289"/>
      <c r="AD48" s="2289"/>
      <c r="AE48" s="2289"/>
      <c r="AF48" s="2289"/>
      <c r="AG48" s="333"/>
      <c r="AH48" s="333"/>
      <c r="AI48" s="333"/>
      <c r="AJ48" s="333"/>
      <c r="AK48" s="333"/>
      <c r="AL48" s="333"/>
      <c r="AM48" s="333"/>
      <c r="AN48" s="2287"/>
      <c r="AO48" s="2128"/>
      <c r="AP48" s="2309"/>
      <c r="AQ48" s="2128"/>
      <c r="AR48" s="1447"/>
      <c r="AS48" s="2370"/>
      <c r="AU48" s="508"/>
      <c r="AV48" s="508" t="str">
        <f>IF(T48="","",T48)</f>
        <v/>
      </c>
      <c r="AW48" s="508"/>
      <c r="AX48" s="508"/>
      <c r="AY48" s="1163">
        <v>0</v>
      </c>
    </row>
    <row customHeight="1" ht="21">
      <c r="A49" s="1371" t="s">
        <v>268</v>
      </c>
      <c r="B49" s="1371" t="s">
        <v>269</v>
      </c>
      <c r="C49" s="1371" t="s">
        <v>270</v>
      </c>
      <c r="D49" s="1371" t="s">
        <v>559</v>
      </c>
      <c r="E49" s="2280"/>
      <c r="F49" s="2280"/>
      <c r="G49" s="2280"/>
      <c r="H49" s="2280"/>
      <c r="I49" s="2307"/>
      <c r="J49" s="2277"/>
      <c r="K49" s="1371"/>
      <c r="L49" s="1372"/>
      <c r="P49" s="2278"/>
      <c r="Q49" s="2278"/>
      <c r="R49" s="364"/>
      <c r="S49" s="1286"/>
      <c r="T49" s="295" t="s">
        <v>503</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504</v>
      </c>
      <c r="AU49" s="508"/>
      <c r="AV49" s="508" t="str">
        <f>IF(T49="","",T49)</f>
        <v>Добавить значение признака дифференциации</v>
      </c>
      <c r="AW49" s="508"/>
      <c r="AX49" s="508"/>
      <c r="AY49" s="1163">
        <v>20</v>
      </c>
    </row>
    <row customHeight="1" ht="22.049999999999997">
      <c r="A50" s="1371" t="s">
        <v>268</v>
      </c>
      <c r="B50" s="1371" t="s">
        <v>269</v>
      </c>
      <c r="C50" s="1371" t="s">
        <v>270</v>
      </c>
      <c r="D50" s="1371" t="s">
        <v>559</v>
      </c>
      <c r="E50" s="2280"/>
      <c r="F50" s="2280"/>
      <c r="G50" s="2280"/>
      <c r="H50" s="2280"/>
      <c r="I50" s="2277"/>
      <c r="J50" s="1371"/>
      <c r="K50" s="1371"/>
      <c r="L50" s="1372"/>
      <c r="P50" s="2278"/>
      <c r="Q50" s="1489"/>
      <c r="R50" s="364"/>
      <c r="S50" s="1286"/>
      <c r="T50" s="373" t="s">
        <v>429</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268</v>
      </c>
      <c r="B51" s="1371" t="s">
        <v>269</v>
      </c>
      <c r="C51" s="1371" t="s">
        <v>270</v>
      </c>
      <c r="D51" s="1371" t="s">
        <v>559</v>
      </c>
      <c r="E51" s="2280"/>
      <c r="F51" s="2280"/>
      <c r="G51" s="2280"/>
      <c r="H51" s="2279"/>
      <c r="I51" s="1371"/>
      <c r="J51" s="1371"/>
      <c r="K51" s="1371"/>
      <c r="L51" s="1372"/>
      <c r="M51" s="1373"/>
      <c r="N51" s="1373"/>
      <c r="O51" s="545"/>
      <c r="P51" s="368"/>
      <c r="Q51" s="383"/>
      <c r="R51" s="363"/>
      <c r="S51" s="1286"/>
      <c r="T51" s="380" t="s">
        <v>505</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268</v>
      </c>
      <c r="B52" s="1351" t="s">
        <v>269</v>
      </c>
      <c r="C52" s="1322"/>
      <c r="D52" s="1322"/>
      <c r="E52" s="2280"/>
      <c r="F52" s="2279"/>
      <c r="G52" s="1322"/>
      <c r="H52" s="1322"/>
      <c r="I52" s="1322"/>
      <c r="J52" s="1322"/>
      <c r="K52" s="1322"/>
      <c r="L52" s="1502"/>
      <c r="M52" s="1329"/>
      <c r="N52" s="1329"/>
      <c r="P52" s="1324"/>
      <c r="Q52" s="1325"/>
      <c r="R52" s="1324"/>
      <c r="S52" s="1330"/>
      <c r="T52" s="1333" t="s">
        <v>432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268</v>
      </c>
      <c r="B53" s="1351"/>
      <c r="C53" s="1351"/>
      <c r="D53" s="1351"/>
      <c r="E53" s="2279"/>
      <c r="F53" s="1351"/>
      <c r="G53" s="1351"/>
      <c r="H53" s="1351"/>
      <c r="I53" s="1351"/>
      <c r="J53" s="1351"/>
      <c r="K53" s="1351"/>
      <c r="L53" s="1354"/>
      <c r="M53" s="1329"/>
      <c r="N53" s="1329"/>
      <c r="O53" s="526"/>
      <c r="P53" s="388"/>
      <c r="Q53" s="1352"/>
      <c r="R53" s="388"/>
      <c r="S53" s="1330"/>
      <c r="T53" s="1333" t="s">
        <v>433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465</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85FD1-61E5-C46A-B294-94F2ED2D3B7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28" width="19.140625" hidden="1" customWidth="1"/>
    <col min="13" max="14" style="1783" width="12.28125" hidden="1" customWidth="1"/>
    <col min="15" max="15" style="1783" width="23.421875" hidden="1" customWidth="1"/>
    <col min="16" max="16" style="2418" width="3.00390625" customWidth="1"/>
    <col min="17" max="18" style="352" width="3.00390625" customWidth="1"/>
    <col min="19" max="19" style="2428"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79">
        <v>1</v>
      </c>
      <c r="F2" s="1371"/>
      <c r="G2" s="1371"/>
      <c r="H2" s="1371"/>
      <c r="I2" s="1371"/>
      <c r="J2" s="1371"/>
      <c r="K2" s="1371"/>
      <c r="L2" s="1372"/>
      <c r="M2" s="1373"/>
      <c r="N2" s="1373"/>
      <c r="O2" s="1373"/>
      <c r="P2" s="369"/>
      <c r="Q2" s="368"/>
      <c r="R2" s="363"/>
      <c r="S2" s="1501">
        <f>INDEX(PT_DIFFERENTIATION_NUM_NTAR,MATCH(A2,PT_DIFFERENTIATION_NTAR_ID,0))</f>
      </c>
      <c r="T2" s="306" t="s">
        <v>142</v>
      </c>
      <c r="U2" s="308"/>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80"/>
      <c r="F3" s="2279">
        <v>1</v>
      </c>
      <c r="G3" s="1371"/>
      <c r="H3" s="1371"/>
      <c r="I3" s="1371"/>
      <c r="J3" s="1371"/>
      <c r="K3" s="1371"/>
      <c r="L3" s="1372"/>
      <c r="M3" s="1373"/>
      <c r="N3" s="1373"/>
      <c r="O3" s="1373"/>
      <c r="P3" s="1495"/>
      <c r="Q3" s="360"/>
      <c r="R3" s="361"/>
      <c r="S3" s="1501">
        <f>INDEX(PT_DIFFERENTIATION_NUM_TER,MATCH(B3,PT_DIFFERENTIATION_TER_ID,0))</f>
      </c>
      <c r="T3" s="316" t="s">
        <v>414</v>
      </c>
      <c r="U3" s="308"/>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6" t="s">
        <v>415</v>
      </c>
      <c r="AU3" s="508"/>
      <c r="AV3" s="508" t="str">
        <f>IF(T3="","",T3)</f>
        <v>Территория действия тарифа</v>
      </c>
      <c r="AW3" s="508"/>
      <c r="AX3" s="508"/>
      <c r="AY3" s="1163">
        <v>0</v>
      </c>
    </row>
    <row customHeight="1" ht="23.25" hidden="1">
      <c r="A4" s="1371"/>
      <c r="B4" s="1371"/>
      <c r="C4" s="1371"/>
      <c r="D4" s="1371"/>
      <c r="E4" s="2280"/>
      <c r="F4" s="2280"/>
      <c r="G4" s="2279">
        <v>1</v>
      </c>
      <c r="H4" s="1371"/>
      <c r="I4" s="1371"/>
      <c r="J4" s="1371"/>
      <c r="K4" s="1371"/>
      <c r="L4" s="1372"/>
      <c r="M4" s="1373"/>
      <c r="N4" s="1373"/>
      <c r="O4" s="1373"/>
      <c r="P4" s="362"/>
      <c r="Q4" s="360"/>
      <c r="R4" s="361"/>
      <c r="S4" s="1501">
        <f>INDEX(PT_DIFFERENTIATION_NUM_CS,MATCH(C4,PT_DIFFERENTIATION_CS_ID,0))</f>
      </c>
      <c r="T4" s="317" t="s">
        <v>547</v>
      </c>
      <c r="U4" s="308"/>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6" t="s">
        <v>548</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80"/>
      <c r="F5" s="2280"/>
      <c r="G5" s="2280"/>
      <c r="H5" s="2280"/>
      <c r="I5" s="2277">
        <f>S4&amp;".1"</f>
      </c>
      <c r="J5" s="1371"/>
      <c r="K5" s="1371"/>
      <c r="L5" s="1372"/>
      <c r="P5" s="2278">
        <v>1</v>
      </c>
      <c r="Q5" s="1489"/>
      <c r="R5" s="364"/>
      <c r="S5" s="1501">
        <f>$I5</f>
      </c>
      <c r="T5" s="293" t="s">
        <v>500</v>
      </c>
      <c r="U5" s="308"/>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6" t="s">
        <v>501</v>
      </c>
      <c r="AU5" s="508"/>
      <c r="AV5" s="508" t="str">
        <f>IF(T5="","",T5)</f>
        <v>Наименование признака дифференциации</v>
      </c>
      <c r="AW5" s="508"/>
      <c r="AX5" s="508"/>
      <c r="AY5" s="1163">
        <v>0</v>
      </c>
    </row>
    <row customHeight="1" ht="23.25" hidden="1">
      <c r="A6" s="1371"/>
      <c r="B6" s="1371"/>
      <c r="C6" s="1371"/>
      <c r="D6" s="1371"/>
      <c r="E6" s="2280"/>
      <c r="F6" s="2280"/>
      <c r="G6" s="2280"/>
      <c r="H6" s="2280"/>
      <c r="I6" s="2307"/>
      <c r="J6" s="2277">
        <f>I5&amp;".1"</f>
      </c>
      <c r="K6" s="1371"/>
      <c r="L6" s="1372" t="s">
        <v>423</v>
      </c>
      <c r="P6" s="2278"/>
      <c r="Q6" s="2278">
        <v>1</v>
      </c>
      <c r="R6" s="365"/>
      <c r="S6" s="1501">
        <f>$J6</f>
      </c>
      <c r="T6" s="294" t="s">
        <v>424</v>
      </c>
      <c r="U6" s="308"/>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15" t="s">
        <v>502</v>
      </c>
      <c r="AU6" s="508"/>
      <c r="AV6" s="508" t="str">
        <f>IF(T6="","",T6)</f>
        <v>Группа потребителей</v>
      </c>
      <c r="AW6" s="508"/>
      <c r="AX6" s="508"/>
      <c r="AY6" s="1163">
        <v>0</v>
      </c>
    </row>
    <row customHeight="1" ht="23.25" hidden="1">
      <c r="A7" s="1371"/>
      <c r="B7" s="1371"/>
      <c r="C7" s="1371"/>
      <c r="D7" s="1371"/>
      <c r="E7" s="2280"/>
      <c r="F7" s="2280"/>
      <c r="G7" s="2280"/>
      <c r="H7" s="2280"/>
      <c r="I7" s="2307"/>
      <c r="J7" s="2307"/>
      <c r="K7" s="2277">
        <f>J6&amp;".1"</f>
      </c>
      <c r="L7" s="1372"/>
      <c r="P7" s="2278"/>
      <c r="Q7" s="2278"/>
      <c r="R7" s="365">
        <v>1</v>
      </c>
      <c r="S7" s="1501">
        <f>$K7</f>
      </c>
      <c r="T7" s="1445"/>
      <c r="U7" s="308"/>
      <c r="V7" s="759"/>
      <c r="W7" s="759"/>
      <c r="X7" s="759"/>
      <c r="Y7" s="759"/>
      <c r="Z7" s="759"/>
      <c r="AA7" s="759"/>
      <c r="AB7" s="1265"/>
      <c r="AC7" s="2286"/>
      <c r="AD7" s="2128" t="s">
        <v>61</v>
      </c>
      <c r="AE7" s="2286"/>
      <c r="AF7" s="2128" t="s">
        <v>61</v>
      </c>
      <c r="AG7" s="759"/>
      <c r="AH7" s="759"/>
      <c r="AI7" s="759"/>
      <c r="AJ7" s="759"/>
      <c r="AK7" s="759"/>
      <c r="AL7" s="759"/>
      <c r="AM7" s="1265"/>
      <c r="AN7" s="2286"/>
      <c r="AO7" s="2128" t="s">
        <v>61</v>
      </c>
      <c r="AP7" s="2308"/>
      <c r="AQ7" s="2128" t="s">
        <v>61</v>
      </c>
      <c r="AR7" s="1446"/>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80"/>
      <c r="F8" s="2280"/>
      <c r="G8" s="2280"/>
      <c r="H8" s="2280"/>
      <c r="I8" s="2307"/>
      <c r="J8" s="2307"/>
      <c r="K8" s="2277"/>
      <c r="L8" s="1372"/>
      <c r="P8" s="2278"/>
      <c r="Q8" s="2278"/>
      <c r="R8" s="365"/>
      <c r="S8" s="1498"/>
      <c r="T8" s="308"/>
      <c r="U8" s="308"/>
      <c r="V8" s="333"/>
      <c r="W8" s="333"/>
      <c r="X8" s="333"/>
      <c r="Y8" s="333"/>
      <c r="Z8" s="333"/>
      <c r="AA8" s="333"/>
      <c r="AB8" s="336" t="str">
        <f>AC7&amp;"-"&amp;AE7</f>
        <v>-</v>
      </c>
      <c r="AC8" s="2287"/>
      <c r="AD8" s="2128"/>
      <c r="AE8" s="2287"/>
      <c r="AF8" s="2128"/>
      <c r="AG8" s="333"/>
      <c r="AH8" s="333"/>
      <c r="AI8" s="333"/>
      <c r="AJ8" s="333"/>
      <c r="AK8" s="333"/>
      <c r="AL8" s="333"/>
      <c r="AM8" s="336" t="str">
        <f>AN7&amp;"-"&amp;AP7</f>
        <v>-</v>
      </c>
      <c r="AN8" s="2287"/>
      <c r="AO8" s="2128"/>
      <c r="AP8" s="2309"/>
      <c r="AQ8" s="2128"/>
      <c r="AR8" s="1447"/>
      <c r="AS8" s="2370"/>
      <c r="AU8" s="508"/>
      <c r="AV8" s="508" t="str">
        <f>IF(T8="","",T8)</f>
        <v/>
      </c>
      <c r="AW8" s="508"/>
      <c r="AX8" s="508"/>
      <c r="AY8" s="1163">
        <v>0</v>
      </c>
    </row>
    <row customHeight="1" ht="21" hidden="1">
      <c r="A9" s="1371"/>
      <c r="B9" s="1371"/>
      <c r="C9" s="1371"/>
      <c r="D9" s="1371"/>
      <c r="E9" s="2280"/>
      <c r="F9" s="2280"/>
      <c r="G9" s="2280"/>
      <c r="H9" s="2280"/>
      <c r="I9" s="2307"/>
      <c r="J9" s="2277"/>
      <c r="K9" s="1371"/>
      <c r="L9" s="1372"/>
      <c r="P9" s="2278"/>
      <c r="Q9" s="2278"/>
      <c r="R9" s="364"/>
      <c r="S9" s="1286"/>
      <c r="T9" s="295" t="s">
        <v>503</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504</v>
      </c>
      <c r="AU9" s="508"/>
      <c r="AV9" s="508" t="str">
        <f>IF(T9="","",T9)</f>
        <v>Добавить значение признака дифференциации</v>
      </c>
      <c r="AW9" s="508"/>
      <c r="AX9" s="508"/>
      <c r="AY9" s="1163">
        <v>0</v>
      </c>
    </row>
    <row customHeight="1" ht="21" hidden="1">
      <c r="A10" s="1371"/>
      <c r="B10" s="1371"/>
      <c r="C10" s="1371"/>
      <c r="D10" s="1371"/>
      <c r="E10" s="2280"/>
      <c r="F10" s="2280"/>
      <c r="G10" s="2280"/>
      <c r="H10" s="2280"/>
      <c r="I10" s="2277"/>
      <c r="J10" s="1371"/>
      <c r="K10" s="1371"/>
      <c r="L10" s="1372"/>
      <c r="P10" s="2278"/>
      <c r="Q10" s="1489"/>
      <c r="R10" s="364"/>
      <c r="S10" s="1286"/>
      <c r="T10" s="373" t="s">
        <v>429</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80"/>
      <c r="F11" s="2280"/>
      <c r="G11" s="2280"/>
      <c r="H11" s="2279"/>
      <c r="I11" s="1371"/>
      <c r="J11" s="1371"/>
      <c r="K11" s="1371"/>
      <c r="L11" s="1372"/>
      <c r="M11" s="1373"/>
      <c r="N11" s="1373"/>
      <c r="O11" s="545"/>
      <c r="P11" s="368"/>
      <c r="Q11" s="383"/>
      <c r="R11" s="363"/>
      <c r="S11" s="1286"/>
      <c r="T11" s="380" t="s">
        <v>505</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80"/>
      <c r="F12" s="2279"/>
      <c r="G12" s="1322"/>
      <c r="H12" s="1322"/>
      <c r="I12" s="1322"/>
      <c r="J12" s="1322"/>
      <c r="K12" s="1322"/>
      <c r="L12" s="1502"/>
      <c r="M12" s="1329"/>
      <c r="N12" s="1329"/>
      <c r="P12" s="1324"/>
      <c r="Q12" s="1325"/>
      <c r="R12" s="1324"/>
      <c r="S12" s="1330"/>
      <c r="T12" s="1333" t="s">
        <v>432</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79"/>
      <c r="F13" s="1351"/>
      <c r="G13" s="1351"/>
      <c r="H13" s="1351"/>
      <c r="I13" s="1351"/>
      <c r="J13" s="1351"/>
      <c r="K13" s="1351"/>
      <c r="L13" s="1354"/>
      <c r="M13" s="1329"/>
      <c r="N13" s="1329"/>
      <c r="O13" s="526"/>
      <c r="P13" s="388"/>
      <c r="Q13" s="1352"/>
      <c r="R13" s="388"/>
      <c r="S13" s="1330"/>
      <c r="T13" s="1333" t="s">
        <v>433</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88"/>
      <c r="AO15" s="2289" t="s">
        <v>61</v>
      </c>
      <c r="AP15" s="2288"/>
      <c r="AQ15" s="2289" t="s">
        <v>61</v>
      </c>
      <c r="AY15" s="1163">
        <v>0</v>
      </c>
    </row>
    <row customHeight="1" ht="14.25" hidden="1">
      <c r="AG16" s="1368"/>
      <c r="AH16" s="1368"/>
      <c r="AI16" s="1368"/>
      <c r="AJ16" s="1368"/>
      <c r="AK16" s="1368"/>
      <c r="AL16" s="1368"/>
      <c r="AM16" s="336" t="str">
        <f>AN15&amp;"-"&amp;AP15</f>
        <v>-</v>
      </c>
      <c r="AN16" s="2289"/>
      <c r="AO16" s="2289"/>
      <c r="AP16" s="2289"/>
      <c r="AQ16" s="2289"/>
      <c r="AY16" s="1163">
        <v>0</v>
      </c>
    </row>
    <row customHeight="1" ht="14.25" hidden="1">
      <c r="AQ17" s="335"/>
      <c r="AY17" s="1163">
        <v>0</v>
      </c>
    </row>
    <row s="1374" customFormat="1" customHeight="1" ht="22.5" hidden="1">
      <c r="L18" s="1486"/>
      <c r="M18" s="1370"/>
      <c r="N18" s="1370"/>
      <c r="O18" s="1375" t="s">
        <v>434</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435</v>
      </c>
      <c r="P20" s="1370"/>
      <c r="Q20" s="1450"/>
      <c r="R20" s="1450"/>
      <c r="S20" s="737"/>
      <c r="T20" s="1168" t="s">
        <v>436</v>
      </c>
      <c r="W20" s="1374"/>
      <c r="X20" s="1374"/>
      <c r="Y20" s="1374"/>
      <c r="Z20" s="1374"/>
      <c r="AA20" s="1374"/>
      <c r="AD20" s="194" t="s">
        <v>437</v>
      </c>
      <c r="AF20" s="194" t="s">
        <v>438</v>
      </c>
      <c r="AG20" s="1168" t="s">
        <v>436</v>
      </c>
      <c r="AH20" s="1374"/>
      <c r="AI20" s="1374"/>
      <c r="AJ20" s="1374"/>
      <c r="AK20" s="1374"/>
      <c r="AL20" s="1374"/>
      <c r="AO20" s="194" t="s">
        <v>439</v>
      </c>
      <c r="AQ20" s="194" t="s">
        <v>438</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51"/>
      <c r="AY24" s="1163">
        <v>25</v>
      </c>
    </row>
    <row customHeight="1" ht="14.699999999999998">
      <c r="Q25" s="384"/>
      <c r="R25" s="384"/>
      <c r="S25" s="2270" t="str">
        <f>IF(org=0,"Не определено",org)</f>
        <v>АО "ДГК"</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58" customFormat="1" customHeight="1" ht="25.5" hidden="1">
      <c r="A27" s="1376"/>
      <c r="B27" s="1376"/>
      <c r="C27" s="1376"/>
      <c r="D27" s="1376"/>
      <c r="E27" s="1376"/>
      <c r="F27" s="1376"/>
      <c r="G27" s="1376"/>
      <c r="H27" s="1376"/>
      <c r="I27" s="1376"/>
      <c r="J27" s="1376"/>
      <c r="K27" s="1376"/>
      <c r="L27" s="1377"/>
      <c r="M27" s="1376"/>
      <c r="N27" s="1376"/>
      <c r="O27" s="1376"/>
      <c r="S27" s="2271" t="s">
        <v>41</v>
      </c>
      <c r="T27" s="2271"/>
      <c r="U27" s="1380"/>
      <c r="V27" s="2272" t="str">
        <f>IF(TITLE_NAME_OR_PR_CHANGE="",IF(TITLE_NAME_OR_PR="","",TITLE_NAME_OR_PR),TITLE_NAME_OR_PR_CHANGE)</f>
        <v/>
      </c>
      <c r="W27" s="2272"/>
      <c r="X27" s="2272"/>
      <c r="Y27" s="2272"/>
      <c r="Z27" s="2272"/>
      <c r="AA27" s="2272"/>
      <c r="AB27" s="2272"/>
      <c r="AC27" s="2272"/>
      <c r="AD27" s="2272"/>
      <c r="AE27" s="2272"/>
      <c r="AF27" s="334"/>
      <c r="AG27" s="2272" t="str">
        <f>IF(TITLE_NAME_OR_PR_CHANGE="",IF(TITLE_NAME_OR_PR="","",TITLE_NAME_OR_PR),TITLE_NAME_OR_PR_CHANGE)</f>
        <v/>
      </c>
      <c r="AH27" s="2272"/>
      <c r="AI27" s="2272"/>
      <c r="AJ27" s="2272"/>
      <c r="AK27" s="2272"/>
      <c r="AL27" s="2272"/>
      <c r="AM27" s="2272"/>
      <c r="AN27" s="2272"/>
      <c r="AO27" s="2272"/>
      <c r="AP27" s="2272"/>
      <c r="AQ27" s="334"/>
      <c r="AR27" s="334"/>
      <c r="AS27" s="288"/>
      <c r="AT27" s="376"/>
      <c r="AU27" s="376"/>
      <c r="AV27" s="376"/>
      <c r="AW27" s="376"/>
      <c r="AX27" s="376"/>
      <c r="AY27" s="426">
        <v>0</v>
      </c>
    </row>
    <row s="1858" customFormat="1" customHeight="1" ht="18.75" hidden="1">
      <c r="A28" s="1376"/>
      <c r="B28" s="1376"/>
      <c r="C28" s="1376"/>
      <c r="D28" s="1376"/>
      <c r="E28" s="1376"/>
      <c r="F28" s="1376"/>
      <c r="G28" s="1376"/>
      <c r="H28" s="1376"/>
      <c r="I28" s="1376"/>
      <c r="J28" s="1376"/>
      <c r="K28" s="1376"/>
      <c r="L28" s="1377"/>
      <c r="M28" s="1376"/>
      <c r="N28" s="1376"/>
      <c r="O28" s="1376"/>
      <c r="S28" s="2271" t="s">
        <v>440</v>
      </c>
      <c r="T28" s="2271"/>
      <c r="U28" s="1380"/>
      <c r="V28" s="2285" t="str">
        <f>IF(TITLE_DATE_PR_CHANGE="",IF(TITLE_DATE_PR="","",TITLE_DATE_PR),TITLE_DATE_PR_CHANGE)</f>
        <v/>
      </c>
      <c r="W28" s="2285"/>
      <c r="X28" s="2285"/>
      <c r="Y28" s="2285"/>
      <c r="Z28" s="2285"/>
      <c r="AA28" s="2285"/>
      <c r="AB28" s="2285"/>
      <c r="AC28" s="2285"/>
      <c r="AD28" s="2285"/>
      <c r="AE28" s="2285"/>
      <c r="AF28" s="334"/>
      <c r="AG28" s="2285" t="str">
        <f>IF(TITLE_DATE_PR_CHANGE="",IF(TITLE_DATE_PR="","",TITLE_DATE_PR),TITLE_DATE_PR_CHANGE)</f>
        <v/>
      </c>
      <c r="AH28" s="2285"/>
      <c r="AI28" s="2285"/>
      <c r="AJ28" s="2285"/>
      <c r="AK28" s="2285"/>
      <c r="AL28" s="2285"/>
      <c r="AM28" s="2285"/>
      <c r="AN28" s="2285"/>
      <c r="AO28" s="2285"/>
      <c r="AP28" s="2285"/>
      <c r="AQ28" s="334"/>
      <c r="AR28" s="334"/>
      <c r="AS28" s="288"/>
      <c r="AT28" s="376"/>
      <c r="AU28" s="376"/>
      <c r="AV28" s="376"/>
      <c r="AW28" s="376"/>
      <c r="AX28" s="376"/>
      <c r="AY28" s="426">
        <v>0</v>
      </c>
    </row>
    <row s="1858" customFormat="1" customHeight="1" ht="18.75" hidden="1">
      <c r="A29" s="1376"/>
      <c r="B29" s="1376"/>
      <c r="C29" s="1376"/>
      <c r="D29" s="1376"/>
      <c r="E29" s="1376"/>
      <c r="F29" s="1376"/>
      <c r="G29" s="1376"/>
      <c r="H29" s="1376"/>
      <c r="I29" s="1376"/>
      <c r="J29" s="1376"/>
      <c r="K29" s="1376"/>
      <c r="L29" s="1377"/>
      <c r="M29" s="1376"/>
      <c r="N29" s="1376"/>
      <c r="O29" s="1376"/>
      <c r="S29" s="2271" t="s">
        <v>441</v>
      </c>
      <c r="T29" s="2271"/>
      <c r="U29" s="1380"/>
      <c r="V29" s="2272" t="str">
        <f>IF(TITLE_NUMBER_PR_CHANGE="",IF(TITLE_NUMBER_PR="","",TITLE_NUMBER_PR),TITLE_NUMBER_PR_CHANGE)</f>
        <v/>
      </c>
      <c r="W29" s="2272"/>
      <c r="X29" s="2272"/>
      <c r="Y29" s="2272"/>
      <c r="Z29" s="2272"/>
      <c r="AA29" s="2272"/>
      <c r="AB29" s="2272"/>
      <c r="AC29" s="2272"/>
      <c r="AD29" s="2272"/>
      <c r="AE29" s="2272"/>
      <c r="AF29" s="334"/>
      <c r="AG29" s="2272" t="str">
        <f>IF(TITLE_NUMBER_PR_CHANGE="",IF(TITLE_NUMBER_PR="","",TITLE_NUMBER_PR),TITLE_NUMBER_PR_CHANGE)</f>
        <v/>
      </c>
      <c r="AH29" s="2272"/>
      <c r="AI29" s="2272"/>
      <c r="AJ29" s="2272"/>
      <c r="AK29" s="2272"/>
      <c r="AL29" s="2272"/>
      <c r="AM29" s="2272"/>
      <c r="AN29" s="2272"/>
      <c r="AO29" s="2272"/>
      <c r="AP29" s="2272"/>
      <c r="AQ29" s="334"/>
      <c r="AR29" s="334"/>
      <c r="AS29" s="288"/>
      <c r="AT29" s="376"/>
      <c r="AU29" s="376"/>
      <c r="AV29" s="376"/>
      <c r="AW29" s="376"/>
      <c r="AX29" s="376"/>
      <c r="AY29" s="426">
        <v>0</v>
      </c>
    </row>
    <row s="1858" customFormat="1" customHeight="1" ht="18.75" hidden="1">
      <c r="A30" s="1376"/>
      <c r="B30" s="1376"/>
      <c r="C30" s="1376"/>
      <c r="D30" s="1376"/>
      <c r="E30" s="1376"/>
      <c r="F30" s="1376"/>
      <c r="G30" s="1376"/>
      <c r="H30" s="1376"/>
      <c r="I30" s="1376"/>
      <c r="J30" s="1376"/>
      <c r="K30" s="1376"/>
      <c r="L30" s="1377"/>
      <c r="M30" s="1376"/>
      <c r="N30" s="1376"/>
      <c r="O30" s="1376"/>
      <c r="S30" s="2271" t="s">
        <v>42</v>
      </c>
      <c r="T30" s="2271"/>
      <c r="U30" s="1380"/>
      <c r="V30" s="2272" t="str">
        <f>IF(TITLE_IST_PUB_CHANGE="",IF(TITLE_IST_PUB="","",TITLE_IST_PUB),TITLE_IST_PUB_CHANGE)</f>
        <v/>
      </c>
      <c r="W30" s="2272"/>
      <c r="X30" s="2272"/>
      <c r="Y30" s="2272"/>
      <c r="Z30" s="2272"/>
      <c r="AA30" s="2272"/>
      <c r="AB30" s="2272"/>
      <c r="AC30" s="2272"/>
      <c r="AD30" s="2272"/>
      <c r="AE30" s="2272"/>
      <c r="AF30" s="334"/>
      <c r="AG30" s="2272" t="str">
        <f>IF(TITLE_IST_PUB_CHANGE="",IF(TITLE_IST_PUB="","",TITLE_IST_PUB),TITLE_IST_PUB_CHANGE)</f>
        <v/>
      </c>
      <c r="AH30" s="2272"/>
      <c r="AI30" s="2272"/>
      <c r="AJ30" s="2272"/>
      <c r="AK30" s="2272"/>
      <c r="AL30" s="2272"/>
      <c r="AM30" s="2272"/>
      <c r="AN30" s="2272"/>
      <c r="AO30" s="2272"/>
      <c r="AP30" s="2272"/>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58" customFormat="1" customHeight="1" ht="18.75" hidden="1">
      <c r="A32" s="1376"/>
      <c r="B32" s="1376"/>
      <c r="C32" s="1376"/>
      <c r="D32" s="1376"/>
      <c r="E32" s="1376"/>
      <c r="F32" s="1376"/>
      <c r="G32" s="1376"/>
      <c r="H32" s="1376"/>
      <c r="I32" s="1376"/>
      <c r="J32" s="1376"/>
      <c r="K32" s="1376"/>
      <c r="L32" s="1377"/>
      <c r="M32" s="1376"/>
      <c r="N32" s="1376"/>
      <c r="O32" s="1376"/>
      <c r="S32" s="2271" t="s">
        <v>442</v>
      </c>
      <c r="T32" s="2271"/>
      <c r="U32" s="1380"/>
      <c r="V32" s="2285" t="str">
        <f>IF(TITLE_DATE_PR_CHANGE="",IF(TITLE_DATE_PR="","",TITLE_DATE_PR),TITLE_DATE_PR_CHANGE)</f>
        <v/>
      </c>
      <c r="W32" s="2285"/>
      <c r="X32" s="2285"/>
      <c r="Y32" s="2285"/>
      <c r="Z32" s="2285"/>
      <c r="AA32" s="2285"/>
      <c r="AB32" s="2285"/>
      <c r="AC32" s="2285"/>
      <c r="AD32" s="2285"/>
      <c r="AE32" s="2285"/>
      <c r="AF32" s="334"/>
      <c r="AG32" s="2285" t="str">
        <f>IF(TITLE_DATE_PR_CHANGE="",IF(TITLE_DATE_PR="","",TITLE_DATE_PR),TITLE_DATE_PR_CHANGE)</f>
        <v/>
      </c>
      <c r="AH32" s="2285"/>
      <c r="AI32" s="2285"/>
      <c r="AJ32" s="2285"/>
      <c r="AK32" s="2285"/>
      <c r="AL32" s="2285"/>
      <c r="AM32" s="2285"/>
      <c r="AN32" s="2285"/>
      <c r="AO32" s="2285"/>
      <c r="AP32" s="2285"/>
      <c r="AQ32" s="334"/>
      <c r="AR32" s="334"/>
      <c r="AS32" s="288"/>
      <c r="AT32" s="376"/>
      <c r="AU32" s="376"/>
      <c r="AV32" s="376"/>
      <c r="AW32" s="376"/>
      <c r="AX32" s="376"/>
      <c r="AY32" s="426">
        <v>0</v>
      </c>
    </row>
    <row s="1858" customFormat="1" customHeight="1" ht="18.75" hidden="1">
      <c r="A33" s="1376"/>
      <c r="B33" s="1376"/>
      <c r="C33" s="1376"/>
      <c r="D33" s="1376"/>
      <c r="E33" s="1376"/>
      <c r="F33" s="1376"/>
      <c r="G33" s="1376"/>
      <c r="H33" s="1376"/>
      <c r="I33" s="1376"/>
      <c r="J33" s="1376"/>
      <c r="K33" s="1376"/>
      <c r="L33" s="1377"/>
      <c r="M33" s="1376"/>
      <c r="N33" s="1376"/>
      <c r="O33" s="1376"/>
      <c r="S33" s="2271" t="s">
        <v>443</v>
      </c>
      <c r="T33" s="2271"/>
      <c r="U33" s="1380"/>
      <c r="V33" s="2272" t="str">
        <f>IF(TITLE_NUMBER_PR_CHANGE="",IF(TITLE_NUMBER_PR="","",TITLE_NUMBER_PR),TITLE_NUMBER_PR_CHANGE)</f>
        <v/>
      </c>
      <c r="W33" s="2272"/>
      <c r="X33" s="2272"/>
      <c r="Y33" s="2272"/>
      <c r="Z33" s="2272"/>
      <c r="AA33" s="2272"/>
      <c r="AB33" s="2272"/>
      <c r="AC33" s="2272"/>
      <c r="AD33" s="2272"/>
      <c r="AE33" s="2272"/>
      <c r="AF33" s="334"/>
      <c r="AG33" s="2272" t="str">
        <f>IF(TITLE_NUMBER_PR_CHANGE="",IF(TITLE_NUMBER_PR="","",TITLE_NUMBER_PR),TITLE_NUMBER_PR_CHANGE)</f>
        <v/>
      </c>
      <c r="AH33" s="2272"/>
      <c r="AI33" s="2272"/>
      <c r="AJ33" s="2272"/>
      <c r="AK33" s="2272"/>
      <c r="AL33" s="2272"/>
      <c r="AM33" s="2272"/>
      <c r="AN33" s="2272"/>
      <c r="AO33" s="2272"/>
      <c r="AP33" s="2272"/>
      <c r="AQ33" s="334"/>
      <c r="AR33" s="334"/>
      <c r="AS33" s="288"/>
      <c r="AT33" s="376"/>
      <c r="AU33" s="376"/>
      <c r="AV33" s="376"/>
      <c r="AW33" s="376"/>
      <c r="AX33" s="376"/>
      <c r="AY33" s="426">
        <v>0</v>
      </c>
    </row>
    <row s="1858"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444</v>
      </c>
      <c r="AG34" s="334"/>
      <c r="AH34" s="1643"/>
      <c r="AI34" s="1643"/>
      <c r="AJ34" s="1643"/>
      <c r="AK34" s="1643"/>
      <c r="AL34" s="1643"/>
      <c r="AM34" s="334"/>
      <c r="AN34" s="334"/>
      <c r="AO34" s="334"/>
      <c r="AP34" s="334"/>
      <c r="AQ34" s="286" t="s">
        <v>444</v>
      </c>
      <c r="AT34" s="376"/>
      <c r="AU34" s="376"/>
      <c r="AV34" s="376"/>
      <c r="AW34" s="376"/>
      <c r="AX34" s="376"/>
      <c r="AY34" s="426">
        <v>1</v>
      </c>
    </row>
    <row customHeight="1" ht="14.699999999999998">
      <c r="Q35" s="384"/>
      <c r="R35" s="384"/>
      <c r="S35" s="1283"/>
      <c r="T35" s="371"/>
      <c r="U35" s="1252"/>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63">
        <v>14</v>
      </c>
    </row>
    <row customHeight="1" ht="14.699999999999998">
      <c r="Q36" s="384"/>
      <c r="R36" s="384"/>
      <c r="S36" s="2148" t="s">
        <v>317</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318</v>
      </c>
      <c r="AY36" s="1163">
        <v>14</v>
      </c>
    </row>
    <row customHeight="1" ht="14.699999999999998">
      <c r="Q37" s="384"/>
      <c r="R37" s="384"/>
      <c r="S37" s="2294" t="s">
        <v>88</v>
      </c>
      <c r="T37" s="2230" t="s">
        <v>445</v>
      </c>
      <c r="U37" s="309"/>
      <c r="V37" s="2295" t="s">
        <v>446</v>
      </c>
      <c r="W37" s="2296"/>
      <c r="X37" s="2296"/>
      <c r="Y37" s="2296"/>
      <c r="Z37" s="2296"/>
      <c r="AA37" s="2296"/>
      <c r="AB37" s="2296"/>
      <c r="AC37" s="2296"/>
      <c r="AD37" s="2296"/>
      <c r="AE37" s="2297"/>
      <c r="AF37" s="2298" t="s">
        <v>447</v>
      </c>
      <c r="AG37" s="2295" t="s">
        <v>446</v>
      </c>
      <c r="AH37" s="2296"/>
      <c r="AI37" s="2296"/>
      <c r="AJ37" s="2296"/>
      <c r="AK37" s="2296"/>
      <c r="AL37" s="2296"/>
      <c r="AM37" s="2296"/>
      <c r="AN37" s="2296"/>
      <c r="AO37" s="2296"/>
      <c r="AP37" s="2297"/>
      <c r="AQ37" s="2298" t="s">
        <v>448</v>
      </c>
      <c r="AR37" s="2301" t="s">
        <v>449</v>
      </c>
      <c r="AS37" s="2148"/>
      <c r="AY37" s="1163">
        <v>14</v>
      </c>
    </row>
    <row s="1643" customFormat="1" customHeight="1" ht="19.95">
      <c r="A38" s="1374"/>
      <c r="B38" s="1374"/>
      <c r="C38" s="1374"/>
      <c r="D38" s="1374"/>
      <c r="E38" s="1374"/>
      <c r="F38" s="1374"/>
      <c r="G38" s="1374"/>
      <c r="H38" s="1374"/>
      <c r="I38" s="1374"/>
      <c r="J38" s="1374"/>
      <c r="K38" s="1374"/>
      <c r="L38" s="1985"/>
      <c r="M38" s="1370"/>
      <c r="N38" s="1370"/>
      <c r="O38" s="1370"/>
      <c r="P38" s="1986"/>
      <c r="Q38" s="384"/>
      <c r="R38" s="384"/>
      <c r="S38" s="2294"/>
      <c r="T38" s="2230"/>
      <c r="U38" s="1039"/>
      <c r="V38" s="2387" t="s">
        <v>549</v>
      </c>
      <c r="W38" s="2386" t="s">
        <v>550</v>
      </c>
      <c r="X38" s="2386"/>
      <c r="Y38" s="2386"/>
      <c r="Z38" s="2386" t="s">
        <v>551</v>
      </c>
      <c r="AA38" s="2386"/>
      <c r="AB38" s="2386"/>
      <c r="AC38" s="2315" t="s">
        <v>453</v>
      </c>
      <c r="AD38" s="2334"/>
      <c r="AE38" s="2335"/>
      <c r="AF38" s="2299"/>
      <c r="AG38" s="2387" t="s">
        <v>549</v>
      </c>
      <c r="AH38" s="2386" t="s">
        <v>550</v>
      </c>
      <c r="AI38" s="2386"/>
      <c r="AJ38" s="2386"/>
      <c r="AK38" s="2386" t="s">
        <v>551</v>
      </c>
      <c r="AL38" s="2386"/>
      <c r="AM38" s="2386"/>
      <c r="AN38" s="2315" t="s">
        <v>453</v>
      </c>
      <c r="AO38" s="2334"/>
      <c r="AP38" s="2335"/>
      <c r="AQ38" s="2299"/>
      <c r="AR38" s="2302"/>
      <c r="AS38" s="2148"/>
      <c r="AT38" s="1644"/>
      <c r="AU38" s="1644"/>
      <c r="AV38" s="1644"/>
      <c r="AW38" s="1644"/>
      <c r="AX38" s="1644"/>
      <c r="AY38" s="1639">
        <v>19</v>
      </c>
    </row>
    <row customHeight="1" ht="19.95">
      <c r="Q39" s="384"/>
      <c r="R39" s="384"/>
      <c r="S39" s="2294"/>
      <c r="T39" s="2230"/>
      <c r="U39" s="1039"/>
      <c r="V39" s="2387"/>
      <c r="W39" s="2386" t="s">
        <v>552</v>
      </c>
      <c r="X39" s="2386" t="s">
        <v>553</v>
      </c>
      <c r="Y39" s="2386"/>
      <c r="Z39" s="2386" t="s">
        <v>554</v>
      </c>
      <c r="AA39" s="2386" t="s">
        <v>553</v>
      </c>
      <c r="AB39" s="2386"/>
      <c r="AC39" s="2316"/>
      <c r="AD39" s="2336"/>
      <c r="AE39" s="2337"/>
      <c r="AF39" s="2299"/>
      <c r="AG39" s="2387"/>
      <c r="AH39" s="2386" t="s">
        <v>552</v>
      </c>
      <c r="AI39" s="2386" t="s">
        <v>553</v>
      </c>
      <c r="AJ39" s="2386"/>
      <c r="AK39" s="2386" t="s">
        <v>554</v>
      </c>
      <c r="AL39" s="2386" t="s">
        <v>553</v>
      </c>
      <c r="AM39" s="2386"/>
      <c r="AN39" s="2316"/>
      <c r="AO39" s="2336"/>
      <c r="AP39" s="2337"/>
      <c r="AQ39" s="2299"/>
      <c r="AR39" s="2302"/>
      <c r="AS39" s="2148"/>
      <c r="AY39" s="1163">
        <v>19</v>
      </c>
    </row>
    <row customHeight="1" ht="61.949999999999996">
      <c r="A40" s="1378"/>
      <c r="B40" s="1378" t="s">
        <v>154</v>
      </c>
      <c r="C40" s="1378" t="s">
        <v>155</v>
      </c>
      <c r="D40" s="1378" t="s">
        <v>156</v>
      </c>
      <c r="E40" s="1372" t="s">
        <v>454</v>
      </c>
      <c r="F40" s="1372" t="s">
        <v>455</v>
      </c>
      <c r="G40" s="1372" t="s">
        <v>456</v>
      </c>
      <c r="H40" s="1372"/>
      <c r="I40" s="1372" t="s">
        <v>507</v>
      </c>
      <c r="J40" s="1372" t="s">
        <v>459</v>
      </c>
      <c r="K40" s="1372" t="s">
        <v>508</v>
      </c>
      <c r="L40" s="1372" t="s">
        <v>435</v>
      </c>
      <c r="Q40" s="384"/>
      <c r="R40" s="384"/>
      <c r="S40" s="2294"/>
      <c r="T40" s="2230"/>
      <c r="U40" s="310"/>
      <c r="V40" s="2387"/>
      <c r="W40" s="2386"/>
      <c r="X40" s="1988" t="s">
        <v>555</v>
      </c>
      <c r="Y40" s="1988" t="s">
        <v>556</v>
      </c>
      <c r="Z40" s="2386"/>
      <c r="AA40" s="1988" t="s">
        <v>557</v>
      </c>
      <c r="AB40" s="1988" t="s">
        <v>558</v>
      </c>
      <c r="AC40" s="1497" t="s">
        <v>463</v>
      </c>
      <c r="AD40" s="2291" t="s">
        <v>464</v>
      </c>
      <c r="AE40" s="2292"/>
      <c r="AF40" s="2300"/>
      <c r="AG40" s="2387"/>
      <c r="AH40" s="2386"/>
      <c r="AI40" s="1988" t="s">
        <v>555</v>
      </c>
      <c r="AJ40" s="1988" t="s">
        <v>556</v>
      </c>
      <c r="AK40" s="2386"/>
      <c r="AL40" s="1988" t="s">
        <v>557</v>
      </c>
      <c r="AM40" s="1988" t="s">
        <v>558</v>
      </c>
      <c r="AN40" s="1497" t="s">
        <v>463</v>
      </c>
      <c r="AO40" s="2291" t="s">
        <v>464</v>
      </c>
      <c r="AP40" s="2292"/>
      <c r="AQ40" s="2300"/>
      <c r="AR40" s="2303"/>
      <c r="AS40" s="2148"/>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984"/>
      <c r="X41" s="1984"/>
      <c r="Y41" s="1984"/>
      <c r="Z41" s="1984"/>
      <c r="AA41" s="1984"/>
      <c r="AB41" s="1490">
        <f>OFFSET(AB41,0,-1)+1</f>
        <v>1</v>
      </c>
      <c r="AC41" s="1490">
        <f>OFFSET(AC41,0,-1)+1</f>
        <v>2</v>
      </c>
      <c r="AD41" s="2293">
        <f>OFFSET(AD41,0,-1)+1</f>
        <v>3</v>
      </c>
      <c r="AE41" s="2293"/>
      <c r="AF41" s="1490">
        <f>OFFSET(AF41,0,-2)+1</f>
        <v>4</v>
      </c>
      <c r="AG41" s="1490">
        <f>OFFSET(AG41,0,-1)+1</f>
        <v>5</v>
      </c>
      <c r="AH41" s="1984"/>
      <c r="AI41" s="1984"/>
      <c r="AJ41" s="1984"/>
      <c r="AK41" s="1984"/>
      <c r="AL41" s="1984"/>
      <c r="AM41" s="1490">
        <f>OFFSET(AM41,0,-1)+1</f>
        <v>1</v>
      </c>
      <c r="AN41" s="1490">
        <f>OFFSET(AN41,0,-1)+1</f>
        <v>2</v>
      </c>
      <c r="AO41" s="2293">
        <f>OFFSET(AO41,0,-1)+1</f>
        <v>3</v>
      </c>
      <c r="AP41" s="2293"/>
      <c r="AQ41" s="1490">
        <f>OFFSET(AQ41,0,-2)+1</f>
        <v>4</v>
      </c>
      <c r="AR41" s="1253">
        <f>OFFSET(AR41,0,-1)</f>
        <v>4</v>
      </c>
      <c r="AS41" s="1490">
        <f>OFFSET(AS41,0,-1)+1</f>
        <v>5</v>
      </c>
      <c r="AT41" s="519"/>
      <c r="AU41" s="519"/>
      <c r="AV41" s="519"/>
      <c r="AW41" s="519"/>
      <c r="AX41" s="519"/>
      <c r="AY41" s="504">
        <v>0</v>
      </c>
    </row>
    <row customHeight="1" ht="24">
      <c r="A42" s="1371" t="s">
        <v>273</v>
      </c>
      <c r="B42" s="1371"/>
      <c r="C42" s="1371"/>
      <c r="D42" s="1371"/>
      <c r="E42" s="2279">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142</v>
      </c>
      <c r="U42" s="308"/>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273</v>
      </c>
      <c r="B43" s="1371" t="s">
        <v>274</v>
      </c>
      <c r="C43" s="1371"/>
      <c r="D43" s="1371"/>
      <c r="E43" s="2280"/>
      <c r="F43" s="2279">
        <v>1</v>
      </c>
      <c r="G43" s="1371"/>
      <c r="H43" s="1371"/>
      <c r="I43" s="1371"/>
      <c r="J43" s="1371"/>
      <c r="K43" s="1371"/>
      <c r="L43" s="1372"/>
      <c r="M43" s="1373"/>
      <c r="N43" s="1373"/>
      <c r="O43" s="1373"/>
      <c r="P43" s="1495"/>
      <c r="Q43" s="360"/>
      <c r="R43" s="361"/>
      <c r="S43" s="1501" t="str">
        <f>INDEX(PT_DIFFERENTIATION_NUM_TER,MATCH(B43,PT_DIFFERENTIATION_TER_ID,0))</f>
        <v>.</v>
      </c>
      <c r="T43" s="316" t="s">
        <v>414</v>
      </c>
      <c r="U43" s="308"/>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6" t="s">
        <v>415</v>
      </c>
      <c r="AU43" s="508"/>
      <c r="AV43" s="508" t="str">
        <f>IF(T43="","",T43)</f>
        <v>Территория действия тарифа</v>
      </c>
      <c r="AW43" s="508"/>
      <c r="AX43" s="508"/>
      <c r="AY43" s="1163">
        <v>23</v>
      </c>
    </row>
    <row customHeight="1" ht="24">
      <c r="A44" s="1371" t="s">
        <v>273</v>
      </c>
      <c r="B44" s="1371" t="s">
        <v>274</v>
      </c>
      <c r="C44" s="1371" t="s">
        <v>275</v>
      </c>
      <c r="D44" s="1371"/>
      <c r="E44" s="2280"/>
      <c r="F44" s="2280"/>
      <c r="G44" s="2279">
        <v>1</v>
      </c>
      <c r="H44" s="1371"/>
      <c r="I44" s="1371"/>
      <c r="J44" s="1371"/>
      <c r="K44" s="1371"/>
      <c r="L44" s="1372"/>
      <c r="M44" s="1373"/>
      <c r="N44" s="1373"/>
      <c r="O44" s="1373"/>
      <c r="P44" s="362"/>
      <c r="Q44" s="360"/>
      <c r="R44" s="361"/>
      <c r="S44" s="1501" t="str">
        <f>INDEX(PT_DIFFERENTIATION_NUM_CS,MATCH(C44,PT_DIFFERENTIATION_CS_ID,0))</f>
        <v>..</v>
      </c>
      <c r="T44" s="317" t="s">
        <v>547</v>
      </c>
      <c r="U44" s="308"/>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6" t="s">
        <v>548</v>
      </c>
      <c r="AU44" s="508"/>
      <c r="AV44" s="508" t="str">
        <f>IF(T44="","",T44)</f>
        <v>Наименование централизованной системы горячего водоснабжения</v>
      </c>
      <c r="AW44" s="508"/>
      <c r="AX44" s="508"/>
      <c r="AY44" s="1163">
        <v>23</v>
      </c>
    </row>
    <row customHeight="1" ht="24">
      <c r="A45" s="1371" t="s">
        <v>273</v>
      </c>
      <c r="B45" s="1371" t="s">
        <v>274</v>
      </c>
      <c r="C45" s="1371" t="s">
        <v>275</v>
      </c>
      <c r="D45" s="1371" t="s">
        <v>560</v>
      </c>
      <c r="E45" s="2280"/>
      <c r="F45" s="2280"/>
      <c r="G45" s="2280"/>
      <c r="H45" s="2280"/>
      <c r="I45" s="2277" t="str">
        <f>S44&amp;".1"</f>
        <v>...1</v>
      </c>
      <c r="J45" s="1371"/>
      <c r="K45" s="1371"/>
      <c r="L45" s="1372"/>
      <c r="P45" s="2278">
        <v>1</v>
      </c>
      <c r="Q45" s="1489"/>
      <c r="R45" s="364"/>
      <c r="S45" s="1501" t="str">
        <f>$I45</f>
        <v>...1</v>
      </c>
      <c r="T45" s="293" t="s">
        <v>500</v>
      </c>
      <c r="U45" s="308"/>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6" t="s">
        <v>501</v>
      </c>
      <c r="AU45" s="508"/>
      <c r="AV45" s="508" t="str">
        <f>IF(T45="","",T45)</f>
        <v>Наименование признака дифференциации</v>
      </c>
      <c r="AW45" s="508"/>
      <c r="AX45" s="508"/>
      <c r="AY45" s="1163">
        <v>23</v>
      </c>
    </row>
    <row customHeight="1" ht="24">
      <c r="A46" s="1371" t="s">
        <v>273</v>
      </c>
      <c r="B46" s="1371" t="s">
        <v>274</v>
      </c>
      <c r="C46" s="1371" t="s">
        <v>275</v>
      </c>
      <c r="D46" s="1371" t="s">
        <v>560</v>
      </c>
      <c r="E46" s="2280"/>
      <c r="F46" s="2280"/>
      <c r="G46" s="2280"/>
      <c r="H46" s="2280"/>
      <c r="I46" s="2307"/>
      <c r="J46" s="2277" t="str">
        <f>I45&amp;".1"</f>
        <v>...1.1</v>
      </c>
      <c r="K46" s="1371"/>
      <c r="L46" s="1372" t="s">
        <v>423</v>
      </c>
      <c r="P46" s="2278"/>
      <c r="Q46" s="2278">
        <v>1</v>
      </c>
      <c r="R46" s="365"/>
      <c r="S46" s="1501" t="str">
        <f>$J46</f>
        <v>...1.1</v>
      </c>
      <c r="T46" s="294" t="s">
        <v>424</v>
      </c>
      <c r="U46" s="308"/>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15" t="s">
        <v>502</v>
      </c>
      <c r="AU46" s="508"/>
      <c r="AV46" s="508" t="str">
        <f>IF(T46="","",T46)</f>
        <v>Группа потребителей</v>
      </c>
      <c r="AW46" s="508"/>
      <c r="AX46" s="508"/>
      <c r="AY46" s="1163">
        <v>23</v>
      </c>
    </row>
    <row customHeight="1" ht="24">
      <c r="A47" s="1371" t="s">
        <v>273</v>
      </c>
      <c r="B47" s="1371" t="s">
        <v>274</v>
      </c>
      <c r="C47" s="1371" t="s">
        <v>275</v>
      </c>
      <c r="D47" s="1371" t="s">
        <v>560</v>
      </c>
      <c r="E47" s="2280"/>
      <c r="F47" s="2280"/>
      <c r="G47" s="2280"/>
      <c r="H47" s="2280"/>
      <c r="I47" s="2307"/>
      <c r="J47" s="2307"/>
      <c r="K47" s="2277" t="str">
        <f>J46&amp;".1"</f>
        <v>...1.1.1</v>
      </c>
      <c r="L47" s="1372"/>
      <c r="P47" s="2278"/>
      <c r="Q47" s="2278"/>
      <c r="R47" s="365">
        <v>1</v>
      </c>
      <c r="S47" s="1501" t="str">
        <f>$K47</f>
        <v>...1.1.1</v>
      </c>
      <c r="T47" s="1445"/>
      <c r="U47" s="308"/>
      <c r="V47" s="1368"/>
      <c r="W47" s="1368"/>
      <c r="X47" s="1368"/>
      <c r="Y47" s="1368"/>
      <c r="Z47" s="1368"/>
      <c r="AA47" s="1368"/>
      <c r="AB47" s="1369"/>
      <c r="AC47" s="2288"/>
      <c r="AD47" s="2289" t="s">
        <v>61</v>
      </c>
      <c r="AE47" s="2288"/>
      <c r="AF47" s="2289" t="s">
        <v>61</v>
      </c>
      <c r="AG47" s="759"/>
      <c r="AH47" s="759"/>
      <c r="AI47" s="759"/>
      <c r="AJ47" s="759"/>
      <c r="AK47" s="759"/>
      <c r="AL47" s="759"/>
      <c r="AM47" s="1265"/>
      <c r="AN47" s="2286"/>
      <c r="AO47" s="2128" t="s">
        <v>61</v>
      </c>
      <c r="AP47" s="2308"/>
      <c r="AQ47" s="2128" t="s">
        <v>19</v>
      </c>
      <c r="AR47" s="1446"/>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273</v>
      </c>
      <c r="B48" s="1371" t="s">
        <v>274</v>
      </c>
      <c r="C48" s="1371" t="s">
        <v>275</v>
      </c>
      <c r="D48" s="1371" t="s">
        <v>560</v>
      </c>
      <c r="E48" s="2280"/>
      <c r="F48" s="2280"/>
      <c r="G48" s="2280"/>
      <c r="H48" s="2280"/>
      <c r="I48" s="2307"/>
      <c r="J48" s="2307"/>
      <c r="K48" s="2277"/>
      <c r="L48" s="1372"/>
      <c r="P48" s="2278"/>
      <c r="Q48" s="2278"/>
      <c r="R48" s="365"/>
      <c r="S48" s="1498"/>
      <c r="T48" s="308"/>
      <c r="U48" s="308"/>
      <c r="V48" s="1368"/>
      <c r="W48" s="1368"/>
      <c r="X48" s="1368"/>
      <c r="Y48" s="1368"/>
      <c r="Z48" s="1368"/>
      <c r="AA48" s="1368"/>
      <c r="AB48" s="336" t="str">
        <f>AC47&amp;"-"&amp;AE47</f>
        <v>-</v>
      </c>
      <c r="AC48" s="2289"/>
      <c r="AD48" s="2289"/>
      <c r="AE48" s="2289"/>
      <c r="AF48" s="2289"/>
      <c r="AG48" s="333"/>
      <c r="AH48" s="333"/>
      <c r="AI48" s="333"/>
      <c r="AJ48" s="333"/>
      <c r="AK48" s="333"/>
      <c r="AL48" s="333"/>
      <c r="AM48" s="336" t="str">
        <f>AN47&amp;"-"&amp;AP47</f>
        <v>-</v>
      </c>
      <c r="AN48" s="2287"/>
      <c r="AO48" s="2128"/>
      <c r="AP48" s="2309"/>
      <c r="AQ48" s="2128"/>
      <c r="AR48" s="1447"/>
      <c r="AS48" s="2370"/>
      <c r="AU48" s="508"/>
      <c r="AV48" s="508" t="str">
        <f>IF(T48="","",T48)</f>
        <v/>
      </c>
      <c r="AW48" s="508"/>
      <c r="AX48" s="508"/>
      <c r="AY48" s="1163">
        <v>0</v>
      </c>
    </row>
    <row customHeight="1" ht="21">
      <c r="A49" s="1371" t="s">
        <v>273</v>
      </c>
      <c r="B49" s="1371" t="s">
        <v>274</v>
      </c>
      <c r="C49" s="1371" t="s">
        <v>275</v>
      </c>
      <c r="D49" s="1371" t="s">
        <v>560</v>
      </c>
      <c r="E49" s="2280"/>
      <c r="F49" s="2280"/>
      <c r="G49" s="2280"/>
      <c r="H49" s="2280"/>
      <c r="I49" s="2307"/>
      <c r="J49" s="2277"/>
      <c r="K49" s="1371"/>
      <c r="L49" s="1372"/>
      <c r="P49" s="2278"/>
      <c r="Q49" s="2278"/>
      <c r="R49" s="364"/>
      <c r="S49" s="1286"/>
      <c r="T49" s="295" t="s">
        <v>503</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504</v>
      </c>
      <c r="AU49" s="508"/>
      <c r="AV49" s="508" t="str">
        <f>IF(T49="","",T49)</f>
        <v>Добавить значение признака дифференциации</v>
      </c>
      <c r="AW49" s="508"/>
      <c r="AX49" s="508"/>
      <c r="AY49" s="1163">
        <v>20</v>
      </c>
    </row>
    <row customHeight="1" ht="22.049999999999997">
      <c r="A50" s="1371" t="s">
        <v>273</v>
      </c>
      <c r="B50" s="1371" t="s">
        <v>274</v>
      </c>
      <c r="C50" s="1371" t="s">
        <v>275</v>
      </c>
      <c r="D50" s="1371" t="s">
        <v>560</v>
      </c>
      <c r="E50" s="2280"/>
      <c r="F50" s="2280"/>
      <c r="G50" s="2280"/>
      <c r="H50" s="2280"/>
      <c r="I50" s="2277"/>
      <c r="J50" s="1371"/>
      <c r="K50" s="1371"/>
      <c r="L50" s="1372"/>
      <c r="P50" s="2278"/>
      <c r="Q50" s="1489"/>
      <c r="R50" s="364"/>
      <c r="S50" s="1286"/>
      <c r="T50" s="373" t="s">
        <v>429</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273</v>
      </c>
      <c r="B51" s="1371" t="s">
        <v>274</v>
      </c>
      <c r="C51" s="1371" t="s">
        <v>275</v>
      </c>
      <c r="D51" s="1371" t="s">
        <v>560</v>
      </c>
      <c r="E51" s="2280"/>
      <c r="F51" s="2280"/>
      <c r="G51" s="2280"/>
      <c r="H51" s="2279"/>
      <c r="I51" s="1371"/>
      <c r="J51" s="1371"/>
      <c r="K51" s="1371"/>
      <c r="L51" s="1372"/>
      <c r="M51" s="1373"/>
      <c r="N51" s="1373"/>
      <c r="O51" s="545"/>
      <c r="P51" s="368"/>
      <c r="Q51" s="383"/>
      <c r="R51" s="363"/>
      <c r="S51" s="1286"/>
      <c r="T51" s="380" t="s">
        <v>505</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273</v>
      </c>
      <c r="B52" s="1351" t="s">
        <v>274</v>
      </c>
      <c r="C52" s="1322"/>
      <c r="D52" s="1322"/>
      <c r="E52" s="2280"/>
      <c r="F52" s="2279"/>
      <c r="G52" s="1322"/>
      <c r="H52" s="1322"/>
      <c r="I52" s="1322"/>
      <c r="J52" s="1322"/>
      <c r="K52" s="1322"/>
      <c r="L52" s="1502"/>
      <c r="M52" s="1329"/>
      <c r="N52" s="1329"/>
      <c r="P52" s="1324"/>
      <c r="Q52" s="1325"/>
      <c r="R52" s="1324"/>
      <c r="S52" s="1330"/>
      <c r="T52" s="1333" t="s">
        <v>432</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273</v>
      </c>
      <c r="B53" s="1351"/>
      <c r="C53" s="1351"/>
      <c r="D53" s="1351"/>
      <c r="E53" s="2279"/>
      <c r="F53" s="1351"/>
      <c r="G53" s="1351"/>
      <c r="H53" s="1351"/>
      <c r="I53" s="1351"/>
      <c r="J53" s="1351"/>
      <c r="K53" s="1351"/>
      <c r="L53" s="1354"/>
      <c r="M53" s="1329"/>
      <c r="N53" s="1329"/>
      <c r="O53" s="526"/>
      <c r="P53" s="388"/>
      <c r="Q53" s="1352"/>
      <c r="R53" s="388"/>
      <c r="S53" s="1330"/>
      <c r="T53" s="1333" t="s">
        <v>433</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465</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63">
        <v>14</v>
      </c>
    </row>
    <row customHeight="1" ht="14.699999999999998">
      <c r="O57" s="545"/>
      <c r="AY57" s="1163">
        <v>14</v>
      </c>
    </row>
    <row customHeight="1" ht="14.699999999999998">
      <c r="O58" s="545"/>
      <c r="S58" s="1261"/>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C58A5-D91C-9EE9-4E35-F5EC17A7F1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28" width="19.140625" hidden="1" customWidth="1"/>
    <col min="13" max="14" style="1783" width="12.28125" hidden="1" customWidth="1"/>
    <col min="15" max="15" style="1783" width="23.421875" hidden="1" customWidth="1"/>
    <col min="16" max="16" style="1783" width="3.7109375" hidden="1" customWidth="1"/>
    <col min="17" max="17" style="1379" width="3.7109375" hidden="1" customWidth="1"/>
    <col min="18" max="18" style="352" width="3.00390625" customWidth="1"/>
    <col min="19" max="19" style="2428"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79">
        <v>1</v>
      </c>
      <c r="F2" s="1371"/>
      <c r="G2" s="1371"/>
      <c r="H2" s="1371"/>
      <c r="I2" s="1371"/>
      <c r="J2" s="1371"/>
      <c r="K2" s="1371"/>
      <c r="L2" s="1372"/>
      <c r="M2" s="1373"/>
      <c r="N2" s="1373"/>
      <c r="O2" s="1373"/>
      <c r="P2" s="1417"/>
      <c r="Q2" s="881"/>
      <c r="R2" s="363"/>
      <c r="S2" s="1501">
        <f>INDEX(PT_DIFFERENTIATION_NUM_NTAR,MATCH(A2,PT_DIFFERENTIATION_NTAR_ID,0))</f>
      </c>
      <c r="T2" s="306" t="s">
        <v>142</v>
      </c>
      <c r="U2" s="308"/>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80"/>
      <c r="F3" s="2279">
        <v>1</v>
      </c>
      <c r="G3" s="1371"/>
      <c r="H3" s="1371"/>
      <c r="I3" s="1371"/>
      <c r="J3" s="1371"/>
      <c r="K3" s="1371"/>
      <c r="L3" s="1372"/>
      <c r="M3" s="1373"/>
      <c r="N3" s="1373"/>
      <c r="O3" s="1373"/>
      <c r="P3" s="1418"/>
      <c r="Q3" s="1419"/>
      <c r="R3" s="361"/>
      <c r="S3" s="1501">
        <f>INDEX(PT_DIFFERENTIATION_NUM_TER,MATCH(B3,PT_DIFFERENTIATION_TER_ID,0))</f>
      </c>
      <c r="T3" s="316" t="s">
        <v>414</v>
      </c>
      <c r="U3" s="308"/>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6" t="s">
        <v>415</v>
      </c>
      <c r="BE3" s="508"/>
      <c r="BF3" s="508" t="str">
        <f>IF(T3="","",T3)</f>
        <v>Территория действия тарифа</v>
      </c>
      <c r="BG3" s="508"/>
      <c r="BH3" s="508"/>
      <c r="BI3" s="1163">
        <v>0</v>
      </c>
    </row>
    <row customHeight="1" ht="33.75" hidden="1">
      <c r="A4" s="1371"/>
      <c r="B4" s="1371"/>
      <c r="C4" s="1371"/>
      <c r="D4" s="1371"/>
      <c r="E4" s="2280"/>
      <c r="F4" s="2280"/>
      <c r="G4" s="2279">
        <v>1</v>
      </c>
      <c r="H4" s="1371"/>
      <c r="I4" s="1371"/>
      <c r="J4" s="1371"/>
      <c r="K4" s="1371"/>
      <c r="L4" s="1372"/>
      <c r="M4" s="1373"/>
      <c r="N4" s="1373"/>
      <c r="O4" s="1373"/>
      <c r="P4" s="1420"/>
      <c r="Q4" s="1419"/>
      <c r="R4" s="361"/>
      <c r="S4" s="1501">
        <f>INDEX(PT_DIFFERENTIATION_NUM_CS,MATCH(C4,PT_DIFFERENTIATION_CS_ID,0))</f>
      </c>
      <c r="T4" s="317" t="s">
        <v>547</v>
      </c>
      <c r="U4" s="308"/>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6" t="s">
        <v>548</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80"/>
      <c r="F5" s="2280"/>
      <c r="G5" s="2280"/>
      <c r="H5" s="2279">
        <v>1</v>
      </c>
      <c r="I5" s="1351"/>
      <c r="J5" s="1351"/>
      <c r="K5" s="1351"/>
      <c r="L5" s="1354"/>
      <c r="M5" s="1323"/>
      <c r="N5" s="1323"/>
      <c r="O5" s="1323"/>
      <c r="P5" s="1505"/>
      <c r="Q5" s="1506"/>
      <c r="R5" s="365"/>
      <c r="S5" s="1050"/>
      <c r="T5" s="1507"/>
      <c r="U5" s="1392"/>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93" t="s">
        <v>419</v>
      </c>
      <c r="BE5" s="508"/>
      <c r="BF5" s="508" t="str">
        <f>IF(T5="","",T5)</f>
        <v/>
      </c>
      <c r="BG5" s="508"/>
      <c r="BH5" s="508"/>
      <c r="BI5" s="519">
        <v>0</v>
      </c>
    </row>
    <row s="1650" customFormat="1" customHeight="1" ht="14.25" hidden="1">
      <c r="A6" s="1351"/>
      <c r="B6" s="1351"/>
      <c r="C6" s="1351"/>
      <c r="D6" s="1351"/>
      <c r="E6" s="2280"/>
      <c r="F6" s="2280"/>
      <c r="G6" s="2280"/>
      <c r="H6" s="2280"/>
      <c r="I6" s="2277" t="str">
        <f>S5&amp;".1"</f>
        <v>.1</v>
      </c>
      <c r="J6" s="1351"/>
      <c r="K6" s="1351"/>
      <c r="L6" s="1354" t="s">
        <v>420</v>
      </c>
      <c r="M6" s="518"/>
      <c r="N6" s="518"/>
      <c r="O6" s="518"/>
      <c r="P6" s="2278">
        <v>1</v>
      </c>
      <c r="Q6" s="1489"/>
      <c r="R6" s="364"/>
      <c r="S6" s="1050"/>
      <c r="T6" s="1391"/>
      <c r="U6" s="1392"/>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93"/>
      <c r="BE6" s="508"/>
      <c r="BF6" s="508" t="str">
        <f>IF(T6="","",T6)</f>
        <v/>
      </c>
      <c r="BG6" s="508"/>
      <c r="BH6" s="508"/>
      <c r="BI6" s="519">
        <v>0</v>
      </c>
    </row>
    <row s="1650" customFormat="1" customHeight="1" ht="14.25" hidden="1">
      <c r="A7" s="1351"/>
      <c r="B7" s="1351"/>
      <c r="C7" s="1351"/>
      <c r="D7" s="1351"/>
      <c r="E7" s="2280"/>
      <c r="F7" s="2280"/>
      <c r="G7" s="2280"/>
      <c r="H7" s="2280"/>
      <c r="I7" s="2307"/>
      <c r="J7" s="2277" t="str">
        <f>S5&amp;".1"</f>
        <v>.1</v>
      </c>
      <c r="K7" s="1351"/>
      <c r="L7" s="1354"/>
      <c r="M7" s="518"/>
      <c r="N7" s="518"/>
      <c r="O7" s="518"/>
      <c r="P7" s="2278"/>
      <c r="Q7" s="2278">
        <v>1</v>
      </c>
      <c r="R7" s="365"/>
      <c r="S7" s="1050"/>
      <c r="T7" s="1407"/>
      <c r="U7" s="1392"/>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93"/>
      <c r="BE7" s="508"/>
      <c r="BF7" s="508" t="str">
        <f>IF(T7="","",T7)</f>
        <v/>
      </c>
      <c r="BG7" s="508"/>
      <c r="BH7" s="508"/>
      <c r="BI7" s="519">
        <v>0</v>
      </c>
    </row>
    <row customHeight="1" ht="11.25" hidden="1">
      <c r="A8" s="1371"/>
      <c r="B8" s="1371"/>
      <c r="C8" s="1371"/>
      <c r="D8" s="1371"/>
      <c r="E8" s="2280"/>
      <c r="F8" s="2280"/>
      <c r="G8" s="2280"/>
      <c r="H8" s="2280"/>
      <c r="I8" s="2307"/>
      <c r="J8" s="2307"/>
      <c r="K8" s="2277">
        <f>S4&amp;".1"</f>
      </c>
      <c r="L8" s="1372"/>
      <c r="P8" s="2278"/>
      <c r="Q8" s="2278"/>
      <c r="R8" s="2368">
        <v>1</v>
      </c>
      <c r="S8" s="2362">
        <f>$K8</f>
      </c>
      <c r="T8" s="2381"/>
      <c r="U8" s="308"/>
      <c r="V8" s="759"/>
      <c r="W8" s="1265"/>
      <c r="X8" s="759"/>
      <c r="Y8" s="1265"/>
      <c r="Z8" s="1741"/>
      <c r="AA8" s="1477" t="s">
        <v>61</v>
      </c>
      <c r="AB8" s="1741"/>
      <c r="AC8" s="1477" t="s">
        <v>61</v>
      </c>
      <c r="AD8" s="2206" t="s">
        <v>61</v>
      </c>
      <c r="AE8" s="2347"/>
      <c r="AF8" s="2226">
        <v>1</v>
      </c>
      <c r="AG8" s="2384"/>
      <c r="AH8" s="2128" t="s">
        <v>61</v>
      </c>
      <c r="AI8" s="2347"/>
      <c r="AJ8" s="2226">
        <v>1</v>
      </c>
      <c r="AK8" s="2348" t="s">
        <v>22</v>
      </c>
      <c r="AL8" s="2128" t="s">
        <v>61</v>
      </c>
      <c r="AM8" s="2213"/>
      <c r="AN8" s="2226">
        <v>1</v>
      </c>
      <c r="AO8" s="2378"/>
      <c r="AP8" s="2379" t="s">
        <v>61</v>
      </c>
      <c r="AQ8" s="319"/>
      <c r="AR8" s="1494">
        <v>1</v>
      </c>
      <c r="AS8" s="1500" t="s">
        <v>22</v>
      </c>
      <c r="AT8" s="759"/>
      <c r="AU8" s="1265"/>
      <c r="AV8" s="759"/>
      <c r="AW8" s="1265"/>
      <c r="AX8" s="1741"/>
      <c r="AY8" s="1477" t="s">
        <v>61</v>
      </c>
      <c r="AZ8" s="1741"/>
      <c r="BA8" s="1477" t="s">
        <v>61</v>
      </c>
      <c r="BB8" s="1356"/>
      <c r="BC8" s="2274" t="s">
        <v>518</v>
      </c>
      <c r="BE8" s="508"/>
      <c r="BF8" s="508" t="str">
        <f>IF(T8="","",T8)</f>
        <v/>
      </c>
      <c r="BG8" s="508"/>
      <c r="BH8" s="508"/>
      <c r="BI8" s="1163">
        <v>0</v>
      </c>
    </row>
    <row customHeight="1" ht="11.25" hidden="1">
      <c r="A9" s="1371"/>
      <c r="B9" s="1371"/>
      <c r="C9" s="1371"/>
      <c r="D9" s="1371"/>
      <c r="E9" s="2280"/>
      <c r="F9" s="2280"/>
      <c r="G9" s="2280"/>
      <c r="H9" s="2280"/>
      <c r="I9" s="2307"/>
      <c r="J9" s="2307"/>
      <c r="K9" s="2277"/>
      <c r="L9" s="1372"/>
      <c r="P9" s="2278"/>
      <c r="Q9" s="2278"/>
      <c r="R9" s="2368"/>
      <c r="S9" s="2363"/>
      <c r="T9" s="2382"/>
      <c r="U9" s="308"/>
      <c r="V9" s="1401"/>
      <c r="W9" s="1504"/>
      <c r="X9" s="1401"/>
      <c r="Y9" s="1504"/>
      <c r="Z9" s="1401"/>
      <c r="AA9" s="1401"/>
      <c r="AB9" s="1401"/>
      <c r="AC9" s="1401"/>
      <c r="AD9" s="2207"/>
      <c r="AE9" s="2347"/>
      <c r="AF9" s="2226"/>
      <c r="AG9" s="2384"/>
      <c r="AH9" s="2128"/>
      <c r="AI9" s="2347"/>
      <c r="AJ9" s="2226"/>
      <c r="AK9" s="2348"/>
      <c r="AL9" s="2128"/>
      <c r="AM9" s="2221"/>
      <c r="AN9" s="2226"/>
      <c r="AO9" s="2378"/>
      <c r="AP9" s="2380"/>
      <c r="AQ9" s="324"/>
      <c r="AR9" s="424"/>
      <c r="AS9" s="424" t="s">
        <v>519</v>
      </c>
      <c r="AT9" s="1401"/>
      <c r="AU9" s="1504"/>
      <c r="AV9" s="1401"/>
      <c r="AW9" s="1504"/>
      <c r="AX9" s="1401"/>
      <c r="AY9" s="1401"/>
      <c r="AZ9" s="1401"/>
      <c r="BA9" s="1401"/>
      <c r="BB9" s="1405"/>
      <c r="BC9" s="2275"/>
      <c r="BE9" s="508"/>
      <c r="BF9" s="508"/>
      <c r="BG9" s="508"/>
      <c r="BH9" s="508"/>
      <c r="BI9" s="1163">
        <v>0</v>
      </c>
    </row>
    <row customHeight="1" ht="11.25" hidden="1">
      <c r="A10" s="1371"/>
      <c r="B10" s="1371"/>
      <c r="C10" s="1371"/>
      <c r="D10" s="1371"/>
      <c r="E10" s="2280"/>
      <c r="F10" s="2280"/>
      <c r="G10" s="2280"/>
      <c r="H10" s="2280"/>
      <c r="I10" s="2307"/>
      <c r="J10" s="2307"/>
      <c r="K10" s="2277"/>
      <c r="L10" s="1372"/>
      <c r="P10" s="2278"/>
      <c r="Q10" s="2278"/>
      <c r="R10" s="2368"/>
      <c r="S10" s="2363"/>
      <c r="T10" s="2382"/>
      <c r="U10" s="308"/>
      <c r="V10" s="1401"/>
      <c r="W10" s="1504"/>
      <c r="X10" s="1401"/>
      <c r="Y10" s="1504"/>
      <c r="Z10" s="1401"/>
      <c r="AA10" s="1401"/>
      <c r="AB10" s="1401"/>
      <c r="AC10" s="1401"/>
      <c r="AD10" s="2207"/>
      <c r="AE10" s="2347"/>
      <c r="AF10" s="2226"/>
      <c r="AG10" s="2384"/>
      <c r="AH10" s="2128"/>
      <c r="AI10" s="2347"/>
      <c r="AJ10" s="2226"/>
      <c r="AK10" s="2348"/>
      <c r="AL10" s="2128"/>
      <c r="AM10" s="324"/>
      <c r="AN10" s="1508"/>
      <c r="AO10" s="1508" t="s">
        <v>520</v>
      </c>
      <c r="AP10" s="424"/>
      <c r="AQ10" s="424"/>
      <c r="AR10" s="424"/>
      <c r="AS10" s="1401"/>
      <c r="AT10" s="1401"/>
      <c r="AU10" s="1504"/>
      <c r="AV10" s="1401"/>
      <c r="AW10" s="1504"/>
      <c r="AX10" s="1401"/>
      <c r="AY10" s="1401"/>
      <c r="AZ10" s="1401"/>
      <c r="BA10" s="1401"/>
      <c r="BB10" s="1405"/>
      <c r="BC10" s="2275"/>
      <c r="BE10" s="508"/>
      <c r="BF10" s="508"/>
      <c r="BG10" s="508"/>
      <c r="BH10" s="508"/>
      <c r="BI10" s="1163">
        <v>0</v>
      </c>
    </row>
    <row customHeight="1" ht="11.25" hidden="1">
      <c r="A11" s="1371"/>
      <c r="B11" s="1371"/>
      <c r="C11" s="1371"/>
      <c r="D11" s="1371"/>
      <c r="E11" s="2280"/>
      <c r="F11" s="2280"/>
      <c r="G11" s="2280"/>
      <c r="H11" s="2280"/>
      <c r="I11" s="2307"/>
      <c r="J11" s="2307"/>
      <c r="K11" s="2277"/>
      <c r="L11" s="1372"/>
      <c r="P11" s="2278"/>
      <c r="Q11" s="2278"/>
      <c r="R11" s="2368"/>
      <c r="S11" s="2363"/>
      <c r="T11" s="2382"/>
      <c r="U11" s="308"/>
      <c r="V11" s="1401"/>
      <c r="W11" s="1504"/>
      <c r="X11" s="1401"/>
      <c r="Y11" s="1504"/>
      <c r="Z11" s="1401"/>
      <c r="AA11" s="1401"/>
      <c r="AB11" s="1401"/>
      <c r="AC11" s="1401"/>
      <c r="AD11" s="2207"/>
      <c r="AE11" s="2347"/>
      <c r="AF11" s="2226"/>
      <c r="AG11" s="2384"/>
      <c r="AH11" s="2128"/>
      <c r="AI11" s="302"/>
      <c r="AJ11" s="423"/>
      <c r="AK11" s="321" t="s">
        <v>521</v>
      </c>
      <c r="AL11" s="1401"/>
      <c r="AM11" s="1401"/>
      <c r="AN11" s="1401"/>
      <c r="AO11" s="1401"/>
      <c r="AP11" s="1401"/>
      <c r="AQ11" s="1401"/>
      <c r="AR11" s="1401"/>
      <c r="AS11" s="1401"/>
      <c r="AT11" s="1401"/>
      <c r="AU11" s="1504"/>
      <c r="AV11" s="1401"/>
      <c r="AW11" s="1504"/>
      <c r="AX11" s="1401"/>
      <c r="AY11" s="1401"/>
      <c r="AZ11" s="1401"/>
      <c r="BA11" s="1401"/>
      <c r="BB11" s="1405"/>
      <c r="BC11" s="2275"/>
      <c r="BE11" s="508"/>
      <c r="BF11" s="508"/>
      <c r="BG11" s="508"/>
      <c r="BH11" s="508"/>
      <c r="BI11" s="1163">
        <v>0</v>
      </c>
    </row>
    <row customHeight="1" ht="11.25" hidden="1">
      <c r="A12" s="1371"/>
      <c r="B12" s="1371"/>
      <c r="C12" s="1371"/>
      <c r="D12" s="1371"/>
      <c r="E12" s="2280"/>
      <c r="F12" s="2280"/>
      <c r="G12" s="2280"/>
      <c r="H12" s="2280"/>
      <c r="I12" s="2307"/>
      <c r="J12" s="2307"/>
      <c r="K12" s="2277"/>
      <c r="L12" s="1372"/>
      <c r="P12" s="2278"/>
      <c r="Q12" s="2278"/>
      <c r="R12" s="2368"/>
      <c r="S12" s="2364"/>
      <c r="T12" s="2383"/>
      <c r="U12" s="308"/>
      <c r="V12" s="1401"/>
      <c r="W12" s="1402" t="str">
        <f>Z8&amp;"-"&amp;AB8</f>
        <v>-</v>
      </c>
      <c r="X12" s="1401"/>
      <c r="Y12" s="1402" t="str">
        <f>AB8&amp;"-"&amp;AD8</f>
        <v>-да</v>
      </c>
      <c r="Z12" s="1401"/>
      <c r="AA12" s="1401"/>
      <c r="AB12" s="1401"/>
      <c r="AC12" s="1401"/>
      <c r="AD12" s="2133"/>
      <c r="AE12" s="320"/>
      <c r="AF12" s="322"/>
      <c r="AG12" s="424" t="s">
        <v>522</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75"/>
      <c r="BE12" s="508"/>
      <c r="BF12" s="508" t="str">
        <f>IF(T12="","",T12)</f>
        <v/>
      </c>
      <c r="BG12" s="508"/>
      <c r="BH12" s="508"/>
      <c r="BI12" s="1163">
        <v>0</v>
      </c>
    </row>
    <row customHeight="1" ht="11.25" hidden="1">
      <c r="A13" s="1371"/>
      <c r="B13" s="1371"/>
      <c r="C13" s="1371"/>
      <c r="D13" s="1371"/>
      <c r="E13" s="2280"/>
      <c r="F13" s="2280"/>
      <c r="G13" s="2280"/>
      <c r="H13" s="2280"/>
      <c r="I13" s="2307"/>
      <c r="J13" s="2277"/>
      <c r="K13" s="1371"/>
      <c r="L13" s="1372"/>
      <c r="P13" s="2278"/>
      <c r="Q13" s="2278"/>
      <c r="R13" s="364"/>
      <c r="S13" s="1286"/>
      <c r="T13" s="295" t="s">
        <v>485</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76"/>
      <c r="BE13" s="508"/>
      <c r="BF13" s="508" t="str">
        <f>IF(T13="","",T13)</f>
        <v>Добавить строку</v>
      </c>
      <c r="BG13" s="508"/>
      <c r="BH13" s="508"/>
      <c r="BI13" s="1163">
        <v>0</v>
      </c>
    </row>
    <row s="1650" customFormat="1" customHeight="1" ht="14.25" hidden="1">
      <c r="A14" s="1351"/>
      <c r="B14" s="1351"/>
      <c r="C14" s="1351"/>
      <c r="D14" s="1351"/>
      <c r="E14" s="2280"/>
      <c r="F14" s="2280"/>
      <c r="G14" s="2280"/>
      <c r="H14" s="2280"/>
      <c r="I14" s="2277"/>
      <c r="J14" s="1351"/>
      <c r="K14" s="1351"/>
      <c r="L14" s="1354"/>
      <c r="M14" s="518"/>
      <c r="N14" s="518"/>
      <c r="O14" s="518"/>
      <c r="P14" s="2278"/>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80"/>
      <c r="F15" s="2280"/>
      <c r="G15" s="2280"/>
      <c r="H15" s="2279"/>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80"/>
      <c r="F16" s="2280"/>
      <c r="G16" s="2279"/>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80"/>
      <c r="F17" s="2279"/>
      <c r="G17" s="1322"/>
      <c r="H17" s="1322"/>
      <c r="I17" s="1322"/>
      <c r="J17" s="1322"/>
      <c r="K17" s="1322"/>
      <c r="L17" s="1502"/>
      <c r="M17" s="1329"/>
      <c r="N17" s="1329"/>
      <c r="P17" s="1324"/>
      <c r="Q17" s="1325"/>
      <c r="R17" s="1324"/>
      <c r="S17" s="1330"/>
      <c r="T17" s="1333" t="s">
        <v>432</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79"/>
      <c r="F18" s="1351"/>
      <c r="G18" s="1351"/>
      <c r="H18" s="1351"/>
      <c r="I18" s="1351"/>
      <c r="J18" s="1351"/>
      <c r="K18" s="1351"/>
      <c r="L18" s="1354"/>
      <c r="M18" s="1329"/>
      <c r="N18" s="1329"/>
      <c r="O18" s="526"/>
      <c r="P18" s="388"/>
      <c r="Q18" s="1352"/>
      <c r="R18" s="388"/>
      <c r="S18" s="1330"/>
      <c r="T18" s="1333" t="s">
        <v>433</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3"/>
      <c r="AY20" s="1493" t="s">
        <v>61</v>
      </c>
      <c r="AZ20" s="1743"/>
      <c r="BA20" s="1493" t="s">
        <v>61</v>
      </c>
      <c r="BI20" s="1163">
        <v>0</v>
      </c>
    </row>
    <row customHeight="1" ht="14.25" hidden="1">
      <c r="BD21" s="504"/>
      <c r="BE21" s="504"/>
      <c r="BF21" s="504"/>
      <c r="BG21" s="504"/>
      <c r="BH21" s="504"/>
      <c r="BI21" s="1163">
        <v>0</v>
      </c>
    </row>
    <row customHeight="1" ht="14.25" hidden="1">
      <c r="O22" s="1375" t="s">
        <v>434</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435</v>
      </c>
      <c r="P24" s="1516"/>
      <c r="Q24" s="1518"/>
      <c r="R24" s="1518"/>
      <c r="AA24" s="1515" t="s">
        <v>437</v>
      </c>
      <c r="AC24" s="1515" t="s">
        <v>438</v>
      </c>
      <c r="AD24" s="1515" t="s">
        <v>486</v>
      </c>
      <c r="AH24" s="1515" t="s">
        <v>486</v>
      </c>
      <c r="AK24" s="1515" t="s">
        <v>523</v>
      </c>
      <c r="AL24" s="1515" t="s">
        <v>486</v>
      </c>
      <c r="AP24" s="1515" t="s">
        <v>486</v>
      </c>
      <c r="AY24" s="1515" t="s">
        <v>437</v>
      </c>
      <c r="BA24" s="1515" t="s">
        <v>438</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51"/>
      <c r="BI28" s="1163">
        <v>14</v>
      </c>
    </row>
    <row customHeight="1" ht="14.699999999999998">
      <c r="Q29" s="299"/>
      <c r="R29" s="384"/>
      <c r="S29" s="2270" t="str">
        <f>IF(org=0,"Не определено",org)</f>
        <v>АО "ДГК"</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58" customFormat="1" customHeight="1" ht="25.5" hidden="1">
      <c r="A31" s="1376"/>
      <c r="B31" s="1376"/>
      <c r="C31" s="1376"/>
      <c r="D31" s="1376"/>
      <c r="E31" s="1376"/>
      <c r="F31" s="1376"/>
      <c r="G31" s="1376"/>
      <c r="H31" s="1376"/>
      <c r="I31" s="1376"/>
      <c r="J31" s="1376"/>
      <c r="K31" s="1376"/>
      <c r="L31" s="1377"/>
      <c r="M31" s="1376"/>
      <c r="N31" s="1376"/>
      <c r="O31" s="1376"/>
      <c r="P31" s="1376"/>
      <c r="Q31" s="1376"/>
      <c r="S31" s="2271" t="s">
        <v>41</v>
      </c>
      <c r="T31" s="2271"/>
      <c r="U31" s="1380"/>
      <c r="V31" s="2272" t="str">
        <f>IF(TITLE_NAME_OR_PR_CHANGE="",IF(TITLE_NAME_OR_PR="","",TITLE_NAME_OR_PR),TITLE_NAME_OR_PR_CHANGE)</f>
        <v/>
      </c>
      <c r="W31" s="2272"/>
      <c r="X31" s="2272"/>
      <c r="Y31" s="2272"/>
      <c r="Z31" s="2272"/>
      <c r="AA31" s="2272"/>
      <c r="AB31" s="2272"/>
      <c r="AC31" s="334"/>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34"/>
      <c r="BB31" s="334"/>
      <c r="BC31" s="288"/>
      <c r="BD31" s="376"/>
      <c r="BE31" s="376"/>
      <c r="BF31" s="376"/>
      <c r="BG31" s="376"/>
      <c r="BH31" s="376"/>
      <c r="BI31" s="426">
        <v>0</v>
      </c>
    </row>
    <row s="1858" customFormat="1" customHeight="1" ht="18.75" hidden="1">
      <c r="A32" s="1376"/>
      <c r="B32" s="1376"/>
      <c r="C32" s="1376"/>
      <c r="D32" s="1376"/>
      <c r="E32" s="1376"/>
      <c r="F32" s="1376"/>
      <c r="G32" s="1376"/>
      <c r="H32" s="1376"/>
      <c r="I32" s="1376"/>
      <c r="J32" s="1376"/>
      <c r="K32" s="1376"/>
      <c r="L32" s="1377"/>
      <c r="M32" s="1376"/>
      <c r="N32" s="1376"/>
      <c r="O32" s="1376"/>
      <c r="P32" s="1376"/>
      <c r="Q32" s="1376"/>
      <c r="S32" s="2271" t="s">
        <v>440</v>
      </c>
      <c r="T32" s="2271"/>
      <c r="U32" s="1380"/>
      <c r="V32" s="2285" t="str">
        <f>IF(TITLE_DATE_PR_CHANGE="",IF(TITLE_DATE_PR="","",TITLE_DATE_PR),TITLE_DATE_PR_CHANGE)</f>
        <v/>
      </c>
      <c r="W32" s="2285"/>
      <c r="X32" s="2285"/>
      <c r="Y32" s="2285"/>
      <c r="Z32" s="2285"/>
      <c r="AA32" s="2285"/>
      <c r="AB32" s="2285"/>
      <c r="AC32" s="334"/>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34"/>
      <c r="BB32" s="334"/>
      <c r="BC32" s="288"/>
      <c r="BD32" s="376"/>
      <c r="BE32" s="376"/>
      <c r="BF32" s="376"/>
      <c r="BG32" s="376"/>
      <c r="BH32" s="376"/>
      <c r="BI32" s="426">
        <v>0</v>
      </c>
    </row>
    <row s="1858" customFormat="1" customHeight="1" ht="18.75" hidden="1">
      <c r="A33" s="1376"/>
      <c r="B33" s="1376"/>
      <c r="C33" s="1376"/>
      <c r="D33" s="1376"/>
      <c r="E33" s="1376"/>
      <c r="F33" s="1376"/>
      <c r="G33" s="1376"/>
      <c r="H33" s="1376"/>
      <c r="I33" s="1376"/>
      <c r="J33" s="1376"/>
      <c r="K33" s="1376"/>
      <c r="L33" s="1377"/>
      <c r="M33" s="1376"/>
      <c r="N33" s="1376"/>
      <c r="O33" s="1376"/>
      <c r="P33" s="1376"/>
      <c r="Q33" s="1376"/>
      <c r="S33" s="2271" t="s">
        <v>441</v>
      </c>
      <c r="T33" s="2271"/>
      <c r="U33" s="1380"/>
      <c r="V33" s="2272" t="str">
        <f>IF(TITLE_NUMBER_PR_CHANGE="",IF(TITLE_NUMBER_PR="","",TITLE_NUMBER_PR),TITLE_NUMBER_PR_CHANGE)</f>
        <v/>
      </c>
      <c r="W33" s="2272"/>
      <c r="X33" s="2272"/>
      <c r="Y33" s="2272"/>
      <c r="Z33" s="2272"/>
      <c r="AA33" s="2272"/>
      <c r="AB33" s="2272"/>
      <c r="AC33" s="334"/>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34"/>
      <c r="BB33" s="334"/>
      <c r="BC33" s="288"/>
      <c r="BD33" s="376"/>
      <c r="BE33" s="376"/>
      <c r="BF33" s="376"/>
      <c r="BG33" s="376"/>
      <c r="BH33" s="376"/>
      <c r="BI33" s="426">
        <v>0</v>
      </c>
    </row>
    <row s="1858" customFormat="1" customHeight="1" ht="18.75" hidden="1">
      <c r="A34" s="1376"/>
      <c r="B34" s="1376"/>
      <c r="C34" s="1376"/>
      <c r="D34" s="1376"/>
      <c r="E34" s="1376"/>
      <c r="F34" s="1376"/>
      <c r="G34" s="1376"/>
      <c r="H34" s="1376"/>
      <c r="I34" s="1376"/>
      <c r="J34" s="1376"/>
      <c r="K34" s="1376"/>
      <c r="L34" s="1377"/>
      <c r="M34" s="1376"/>
      <c r="N34" s="1376"/>
      <c r="O34" s="1376"/>
      <c r="P34" s="1376"/>
      <c r="Q34" s="1376"/>
      <c r="S34" s="2271" t="s">
        <v>42</v>
      </c>
      <c r="T34" s="2271"/>
      <c r="U34" s="1380"/>
      <c r="V34" s="2272" t="str">
        <f>IF(TITLE_IST_PUB_CHANGE="",IF(TITLE_IST_PUB="","",TITLE_IST_PUB),TITLE_IST_PUB_CHANGE)</f>
        <v/>
      </c>
      <c r="W34" s="2272"/>
      <c r="X34" s="2272"/>
      <c r="Y34" s="2272"/>
      <c r="Z34" s="2272"/>
      <c r="AA34" s="2272"/>
      <c r="AB34" s="2272"/>
      <c r="AC34" s="334"/>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58" customFormat="1" customHeight="1" ht="18.75" hidden="1">
      <c r="A36" s="1376"/>
      <c r="B36" s="1376"/>
      <c r="C36" s="1376"/>
      <c r="D36" s="1376"/>
      <c r="E36" s="1376"/>
      <c r="F36" s="1376"/>
      <c r="G36" s="1376"/>
      <c r="H36" s="1376"/>
      <c r="I36" s="1376"/>
      <c r="J36" s="1376"/>
      <c r="K36" s="1376"/>
      <c r="L36" s="1377"/>
      <c r="M36" s="1376"/>
      <c r="N36" s="1376"/>
      <c r="O36" s="1376"/>
      <c r="P36" s="1376"/>
      <c r="Q36" s="1376"/>
      <c r="S36" s="2271" t="s">
        <v>440</v>
      </c>
      <c r="T36" s="2271"/>
      <c r="U36" s="1380"/>
      <c r="V36" s="2285" t="str">
        <f>IF(TITLE_DATE_PR_CHANGE="",IF(TITLE_DATE_PR="","",TITLE_DATE_PR),TITLE_DATE_PR_CHANGE)</f>
        <v/>
      </c>
      <c r="W36" s="2285"/>
      <c r="X36" s="2285"/>
      <c r="Y36" s="2285"/>
      <c r="Z36" s="2285"/>
      <c r="AA36" s="2285"/>
      <c r="AB36" s="2285"/>
      <c r="AC36" s="334"/>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34"/>
      <c r="BB36" s="334"/>
      <c r="BC36" s="288"/>
      <c r="BD36" s="376"/>
      <c r="BE36" s="376"/>
      <c r="BF36" s="376"/>
      <c r="BG36" s="376"/>
      <c r="BH36" s="376"/>
      <c r="BI36" s="426">
        <v>0</v>
      </c>
    </row>
    <row s="1858" customFormat="1" customHeight="1" ht="18.75" hidden="1">
      <c r="A37" s="1376"/>
      <c r="B37" s="1376"/>
      <c r="C37" s="1376"/>
      <c r="D37" s="1376"/>
      <c r="E37" s="1376"/>
      <c r="F37" s="1376"/>
      <c r="G37" s="1376"/>
      <c r="H37" s="1376"/>
      <c r="I37" s="1376"/>
      <c r="J37" s="1376"/>
      <c r="K37" s="1376"/>
      <c r="L37" s="1377"/>
      <c r="M37" s="1376"/>
      <c r="N37" s="1376"/>
      <c r="O37" s="1376"/>
      <c r="P37" s="1376"/>
      <c r="Q37" s="1376"/>
      <c r="S37" s="2271" t="s">
        <v>441</v>
      </c>
      <c r="T37" s="2271"/>
      <c r="U37" s="1380"/>
      <c r="V37" s="2272" t="str">
        <f>IF(TITLE_NUMBER_PR_CHANGE="",IF(TITLE_NUMBER_PR="","",TITLE_NUMBER_PR),TITLE_NUMBER_PR_CHANGE)</f>
        <v/>
      </c>
      <c r="W37" s="2272"/>
      <c r="X37" s="2272"/>
      <c r="Y37" s="2272"/>
      <c r="Z37" s="2272"/>
      <c r="AA37" s="2272"/>
      <c r="AB37" s="2272"/>
      <c r="AC37" s="334"/>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34"/>
      <c r="BB37" s="334"/>
      <c r="BC37" s="288"/>
      <c r="BD37" s="376"/>
      <c r="BE37" s="376"/>
      <c r="BF37" s="376"/>
      <c r="BG37" s="376"/>
      <c r="BH37" s="376"/>
      <c r="BI37" s="426">
        <v>0</v>
      </c>
    </row>
    <row s="1858"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444</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444</v>
      </c>
      <c r="BD38" s="376"/>
      <c r="BE38" s="376"/>
      <c r="BF38" s="376"/>
      <c r="BG38" s="376"/>
      <c r="BH38" s="376"/>
      <c r="BI38" s="426">
        <v>0</v>
      </c>
    </row>
    <row customHeight="1" ht="14.699999999999998">
      <c r="Q39" s="299"/>
      <c r="R39" s="384"/>
      <c r="S39" s="1283"/>
      <c r="T39" s="371"/>
      <c r="U39" s="1252"/>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63">
        <v>14</v>
      </c>
    </row>
    <row customHeight="1" ht="14.699999999999998">
      <c r="Q40" s="299"/>
      <c r="R40" s="384"/>
      <c r="S40" s="2148" t="s">
        <v>317</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318</v>
      </c>
      <c r="BI40" s="1163">
        <v>14</v>
      </c>
    </row>
    <row customHeight="1" ht="14.699999999999998">
      <c r="Q41" s="299"/>
      <c r="R41" s="384"/>
      <c r="S41" s="2294" t="s">
        <v>88</v>
      </c>
      <c r="T41" s="2230" t="s">
        <v>524</v>
      </c>
      <c r="U41" s="309"/>
      <c r="V41" s="2295" t="s">
        <v>446</v>
      </c>
      <c r="W41" s="2296"/>
      <c r="X41" s="2296"/>
      <c r="Y41" s="2296"/>
      <c r="Z41" s="2296"/>
      <c r="AA41" s="2296"/>
      <c r="AB41" s="2297"/>
      <c r="AC41" s="2298" t="s">
        <v>447</v>
      </c>
      <c r="AD41" s="2349" t="s">
        <v>525</v>
      </c>
      <c r="AE41" s="2312"/>
      <c r="AF41" s="2312"/>
      <c r="AG41" s="2350"/>
      <c r="AH41" s="2349" t="s">
        <v>526</v>
      </c>
      <c r="AI41" s="2312"/>
      <c r="AJ41" s="2312"/>
      <c r="AK41" s="2350"/>
      <c r="AL41" s="2349" t="s">
        <v>527</v>
      </c>
      <c r="AM41" s="2312"/>
      <c r="AN41" s="2312"/>
      <c r="AO41" s="2350"/>
      <c r="AP41" s="2349" t="s">
        <v>528</v>
      </c>
      <c r="AQ41" s="2312"/>
      <c r="AR41" s="2312"/>
      <c r="AS41" s="2350"/>
      <c r="AT41" s="2295" t="s">
        <v>446</v>
      </c>
      <c r="AU41" s="2296"/>
      <c r="AV41" s="2296"/>
      <c r="AW41" s="2296"/>
      <c r="AX41" s="2296"/>
      <c r="AY41" s="2296"/>
      <c r="AZ41" s="2297"/>
      <c r="BA41" s="2298" t="s">
        <v>447</v>
      </c>
      <c r="BB41" s="2301" t="s">
        <v>449</v>
      </c>
      <c r="BC41" s="2148"/>
      <c r="BI41" s="1163">
        <v>14</v>
      </c>
    </row>
    <row customHeight="1" ht="35.699999999999996">
      <c r="Q42" s="299"/>
      <c r="R42" s="384"/>
      <c r="S42" s="2294"/>
      <c r="T42" s="2230"/>
      <c r="U42" s="1039"/>
      <c r="V42" s="2213" t="s">
        <v>529</v>
      </c>
      <c r="W42" s="2214"/>
      <c r="X42" s="2213" t="s">
        <v>530</v>
      </c>
      <c r="Y42" s="2214"/>
      <c r="Z42" s="2315" t="s">
        <v>531</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529</v>
      </c>
      <c r="AU42" s="2214"/>
      <c r="AV42" s="2213" t="s">
        <v>530</v>
      </c>
      <c r="AW42" s="2214"/>
      <c r="AX42" s="2315" t="s">
        <v>531</v>
      </c>
      <c r="AY42" s="2334"/>
      <c r="AZ42" s="2335"/>
      <c r="BA42" s="2299"/>
      <c r="BB42" s="2302"/>
      <c r="BC42" s="2148"/>
      <c r="BI42" s="1163">
        <v>34</v>
      </c>
    </row>
    <row customHeight="1" ht="14.699999999999998">
      <c r="Q43" s="299"/>
      <c r="R43" s="384"/>
      <c r="S43" s="2294"/>
      <c r="T43" s="2230"/>
      <c r="U43" s="1039"/>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63">
        <v>14</v>
      </c>
    </row>
    <row customHeight="1" ht="14.699999999999998">
      <c r="A44" s="1378"/>
      <c r="B44" s="1378" t="s">
        <v>154</v>
      </c>
      <c r="C44" s="1378" t="s">
        <v>155</v>
      </c>
      <c r="D44" s="1378" t="s">
        <v>156</v>
      </c>
      <c r="E44" s="1372" t="s">
        <v>454</v>
      </c>
      <c r="F44" s="1372" t="s">
        <v>455</v>
      </c>
      <c r="G44" s="1372" t="s">
        <v>456</v>
      </c>
      <c r="H44" s="1372" t="s">
        <v>457</v>
      </c>
      <c r="I44" s="1372" t="s">
        <v>458</v>
      </c>
      <c r="J44" s="1372" t="s">
        <v>459</v>
      </c>
      <c r="K44" s="1372" t="s">
        <v>460</v>
      </c>
      <c r="L44" s="1372" t="s">
        <v>435</v>
      </c>
      <c r="Q44" s="299"/>
      <c r="R44" s="384"/>
      <c r="S44" s="2294"/>
      <c r="T44" s="2230"/>
      <c r="U44" s="310"/>
      <c r="V44" s="1487" t="s">
        <v>495</v>
      </c>
      <c r="W44" s="1487" t="s">
        <v>496</v>
      </c>
      <c r="X44" s="1487" t="s">
        <v>495</v>
      </c>
      <c r="Y44" s="1487" t="s">
        <v>496</v>
      </c>
      <c r="Z44" s="1497" t="s">
        <v>463</v>
      </c>
      <c r="AA44" s="2291" t="s">
        <v>464</v>
      </c>
      <c r="AB44" s="2292"/>
      <c r="AC44" s="2300"/>
      <c r="AD44" s="2354"/>
      <c r="AE44" s="2355"/>
      <c r="AF44" s="2355"/>
      <c r="AG44" s="2356"/>
      <c r="AH44" s="2354"/>
      <c r="AI44" s="2355"/>
      <c r="AJ44" s="2355"/>
      <c r="AK44" s="2356"/>
      <c r="AL44" s="2354"/>
      <c r="AM44" s="2355"/>
      <c r="AN44" s="2355"/>
      <c r="AO44" s="2356"/>
      <c r="AP44" s="2354"/>
      <c r="AQ44" s="2355"/>
      <c r="AR44" s="2355"/>
      <c r="AS44" s="2356"/>
      <c r="AT44" s="1487" t="s">
        <v>495</v>
      </c>
      <c r="AU44" s="1487" t="s">
        <v>496</v>
      </c>
      <c r="AV44" s="1487" t="s">
        <v>495</v>
      </c>
      <c r="AW44" s="1487" t="s">
        <v>496</v>
      </c>
      <c r="AX44" s="1497" t="s">
        <v>463</v>
      </c>
      <c r="AY44" s="2291" t="s">
        <v>464</v>
      </c>
      <c r="AZ44" s="2292"/>
      <c r="BA44" s="2300"/>
      <c r="BB44" s="2303"/>
      <c r="BC44" s="2148"/>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93">
        <f>OFFSET(AA45,0,-1)+1</f>
        <v>8</v>
      </c>
      <c r="AB45" s="2293"/>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93">
        <f>OFFSET(AY45,0,-1)+1</f>
        <v>3</v>
      </c>
      <c r="AZ45" s="2293"/>
      <c r="BA45" s="1490">
        <f>OFFSET(BA45,0,-2)+1</f>
        <v>4</v>
      </c>
      <c r="BB45" s="1253">
        <f>OFFSET(BB45,0,-1)</f>
        <v>4</v>
      </c>
      <c r="BC45" s="1490">
        <f>OFFSET(BC45,0,-1)+1</f>
        <v>5</v>
      </c>
      <c r="BD45" s="519"/>
      <c r="BE45" s="519"/>
      <c r="BF45" s="519"/>
      <c r="BG45" s="519"/>
      <c r="BH45" s="519"/>
      <c r="BI45" s="504">
        <v>0</v>
      </c>
    </row>
    <row customHeight="1" ht="22.049999999999997">
      <c r="A46" s="1371" t="s">
        <v>278</v>
      </c>
      <c r="B46" s="1371"/>
      <c r="C46" s="1371"/>
      <c r="D46" s="1371"/>
      <c r="E46" s="2279">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142</v>
      </c>
      <c r="U46" s="308"/>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278</v>
      </c>
      <c r="B47" s="1371" t="s">
        <v>279</v>
      </c>
      <c r="C47" s="1371"/>
      <c r="D47" s="1371"/>
      <c r="E47" s="2280"/>
      <c r="F47" s="2279">
        <v>1</v>
      </c>
      <c r="G47" s="1371"/>
      <c r="H47" s="1371"/>
      <c r="I47" s="1371"/>
      <c r="J47" s="1371"/>
      <c r="K47" s="1371"/>
      <c r="L47" s="1372"/>
      <c r="M47" s="1373"/>
      <c r="N47" s="1373"/>
      <c r="O47" s="1373"/>
      <c r="P47" s="1418"/>
      <c r="Q47" s="1419"/>
      <c r="R47" s="361"/>
      <c r="S47" s="1501" t="str">
        <f>INDEX(PT_DIFFERENTIATION_NUM_TER,MATCH(B47,PT_DIFFERENTIATION_TER_ID,0))</f>
        <v>.</v>
      </c>
      <c r="T47" s="316" t="s">
        <v>414</v>
      </c>
      <c r="U47" s="308"/>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6" t="s">
        <v>415</v>
      </c>
      <c r="BE47" s="508"/>
      <c r="BF47" s="508" t="str">
        <f>IF(T47="","",T47)</f>
        <v>Территория действия тарифа</v>
      </c>
      <c r="BG47" s="508"/>
      <c r="BH47" s="508"/>
      <c r="BI47" s="1163">
        <v>21</v>
      </c>
    </row>
    <row customHeight="1" ht="35.699999999999996">
      <c r="A48" s="1371" t="s">
        <v>278</v>
      </c>
      <c r="B48" s="1371" t="s">
        <v>279</v>
      </c>
      <c r="C48" s="1371" t="s">
        <v>280</v>
      </c>
      <c r="D48" s="1371"/>
      <c r="E48" s="2280"/>
      <c r="F48" s="2280"/>
      <c r="G48" s="2279">
        <v>1</v>
      </c>
      <c r="H48" s="1371"/>
      <c r="I48" s="1371"/>
      <c r="J48" s="1371"/>
      <c r="K48" s="1371"/>
      <c r="L48" s="1372"/>
      <c r="M48" s="1373"/>
      <c r="N48" s="1373"/>
      <c r="O48" s="1373"/>
      <c r="P48" s="1420"/>
      <c r="Q48" s="1419"/>
      <c r="R48" s="361"/>
      <c r="S48" s="1501" t="str">
        <f>INDEX(PT_DIFFERENTIATION_NUM_CS,MATCH(C48,PT_DIFFERENTIATION_CS_ID,0))</f>
        <v>..</v>
      </c>
      <c r="T48" s="317" t="s">
        <v>547</v>
      </c>
      <c r="U48" s="308"/>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6" t="s">
        <v>548</v>
      </c>
      <c r="BE48" s="508"/>
      <c r="BF48" s="508" t="str">
        <f>IF(T48="","",T48)</f>
        <v>Наименование централизованной системы горячего водоснабжения</v>
      </c>
      <c r="BG48" s="508"/>
      <c r="BH48" s="508"/>
      <c r="BI48" s="1163">
        <v>34</v>
      </c>
    </row>
    <row s="1650" customFormat="1" customHeight="1" ht="0">
      <c r="A49" s="1351" t="s">
        <v>278</v>
      </c>
      <c r="B49" s="1351" t="s">
        <v>279</v>
      </c>
      <c r="C49" s="1351" t="s">
        <v>280</v>
      </c>
      <c r="D49" s="1351" t="s">
        <v>561</v>
      </c>
      <c r="E49" s="2280"/>
      <c r="F49" s="2280"/>
      <c r="G49" s="2280"/>
      <c r="H49" s="2279">
        <v>1</v>
      </c>
      <c r="I49" s="1351"/>
      <c r="J49" s="1351"/>
      <c r="K49" s="1351"/>
      <c r="L49" s="1354"/>
      <c r="M49" s="1323"/>
      <c r="N49" s="1323"/>
      <c r="O49" s="1323"/>
      <c r="P49" s="1505"/>
      <c r="Q49" s="1506"/>
      <c r="R49" s="365"/>
      <c r="S49" s="1050"/>
      <c r="T49" s="1507"/>
      <c r="U49" s="1392"/>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93" t="s">
        <v>419</v>
      </c>
      <c r="BE49" s="508"/>
      <c r="BF49" s="508" t="str">
        <f>IF(T49="","",T49)</f>
        <v/>
      </c>
      <c r="BG49" s="508"/>
      <c r="BH49" s="508"/>
      <c r="BI49" s="519">
        <v>0</v>
      </c>
    </row>
    <row s="1650" customFormat="1" customHeight="1" ht="0">
      <c r="A50" s="1351" t="s">
        <v>278</v>
      </c>
      <c r="B50" s="1351" t="s">
        <v>279</v>
      </c>
      <c r="C50" s="1351" t="s">
        <v>280</v>
      </c>
      <c r="D50" s="1351" t="s">
        <v>561</v>
      </c>
      <c r="E50" s="2280"/>
      <c r="F50" s="2280"/>
      <c r="G50" s="2280"/>
      <c r="H50" s="2280"/>
      <c r="I50" s="2277" t="str">
        <f>S49&amp;".1"</f>
        <v>.1</v>
      </c>
      <c r="J50" s="1351"/>
      <c r="K50" s="1351"/>
      <c r="L50" s="1354" t="s">
        <v>420</v>
      </c>
      <c r="M50" s="518"/>
      <c r="N50" s="518"/>
      <c r="O50" s="518"/>
      <c r="P50" s="2278">
        <v>1</v>
      </c>
      <c r="Q50" s="1489"/>
      <c r="R50" s="364"/>
      <c r="S50" s="1050"/>
      <c r="T50" s="1391"/>
      <c r="U50" s="1392"/>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93"/>
      <c r="BE50" s="508"/>
      <c r="BF50" s="508" t="str">
        <f>IF(T50="","",T50)</f>
        <v/>
      </c>
      <c r="BG50" s="508"/>
      <c r="BH50" s="508"/>
      <c r="BI50" s="519">
        <v>0</v>
      </c>
    </row>
    <row s="1650" customFormat="1" customHeight="1" ht="0">
      <c r="A51" s="1351" t="s">
        <v>278</v>
      </c>
      <c r="B51" s="1351" t="s">
        <v>279</v>
      </c>
      <c r="C51" s="1351" t="s">
        <v>280</v>
      </c>
      <c r="D51" s="1351" t="s">
        <v>561</v>
      </c>
      <c r="E51" s="2280"/>
      <c r="F51" s="2280"/>
      <c r="G51" s="2280"/>
      <c r="H51" s="2280"/>
      <c r="I51" s="2307"/>
      <c r="J51" s="2277" t="str">
        <f>S49&amp;".1"</f>
        <v>.1</v>
      </c>
      <c r="K51" s="1351"/>
      <c r="L51" s="1354"/>
      <c r="M51" s="518"/>
      <c r="N51" s="518"/>
      <c r="O51" s="518"/>
      <c r="P51" s="2278"/>
      <c r="Q51" s="2278">
        <v>1</v>
      </c>
      <c r="R51" s="365"/>
      <c r="S51" s="1050"/>
      <c r="T51" s="1407"/>
      <c r="U51" s="1392"/>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93"/>
      <c r="BE51" s="508"/>
      <c r="BF51" s="508" t="str">
        <f>IF(T51="","",T51)</f>
        <v/>
      </c>
      <c r="BG51" s="508"/>
      <c r="BH51" s="508"/>
      <c r="BI51" s="519">
        <v>0</v>
      </c>
    </row>
    <row customHeight="1" ht="11.549999999999999">
      <c r="A52" s="1371" t="s">
        <v>278</v>
      </c>
      <c r="B52" s="1371" t="s">
        <v>279</v>
      </c>
      <c r="C52" s="1371" t="s">
        <v>280</v>
      </c>
      <c r="D52" s="1371" t="s">
        <v>561</v>
      </c>
      <c r="E52" s="2280"/>
      <c r="F52" s="2280"/>
      <c r="G52" s="2280"/>
      <c r="H52" s="2280"/>
      <c r="I52" s="2307"/>
      <c r="J52" s="2307"/>
      <c r="K52" s="2277" t="str">
        <f>S48&amp;".1"</f>
        <v>...1</v>
      </c>
      <c r="L52" s="1372"/>
      <c r="P52" s="2278"/>
      <c r="Q52" s="2278"/>
      <c r="R52" s="365">
        <v>1</v>
      </c>
      <c r="S52" s="2362" t="str">
        <f>$K52</f>
        <v>...1</v>
      </c>
      <c r="T52" s="2381"/>
      <c r="U52" s="308"/>
      <c r="V52" s="759"/>
      <c r="W52" s="1265"/>
      <c r="X52" s="759"/>
      <c r="Y52" s="1265"/>
      <c r="Z52" s="1741"/>
      <c r="AA52" s="1477" t="s">
        <v>61</v>
      </c>
      <c r="AB52" s="1741"/>
      <c r="AC52" s="1477" t="s">
        <v>61</v>
      </c>
      <c r="AD52" s="2206" t="s">
        <v>61</v>
      </c>
      <c r="AE52" s="2347"/>
      <c r="AF52" s="2226">
        <v>1</v>
      </c>
      <c r="AG52" s="2384"/>
      <c r="AH52" s="2128" t="s">
        <v>61</v>
      </c>
      <c r="AI52" s="2347"/>
      <c r="AJ52" s="2226">
        <v>1</v>
      </c>
      <c r="AK52" s="2348" t="s">
        <v>22</v>
      </c>
      <c r="AL52" s="2128" t="s">
        <v>61</v>
      </c>
      <c r="AM52" s="2213"/>
      <c r="AN52" s="2226">
        <v>1</v>
      </c>
      <c r="AO52" s="2378"/>
      <c r="AP52" s="2379" t="s">
        <v>61</v>
      </c>
      <c r="AQ52" s="319"/>
      <c r="AR52" s="1494">
        <v>1</v>
      </c>
      <c r="AS52" s="1500" t="s">
        <v>22</v>
      </c>
      <c r="AT52" s="759"/>
      <c r="AU52" s="1265"/>
      <c r="AV52" s="759"/>
      <c r="AW52" s="1265"/>
      <c r="AX52" s="1741"/>
      <c r="AY52" s="1477" t="s">
        <v>61</v>
      </c>
      <c r="AZ52" s="1741"/>
      <c r="BA52" s="1477" t="s">
        <v>61</v>
      </c>
      <c r="BB52" s="1356"/>
      <c r="BC52" s="2274" t="s">
        <v>518</v>
      </c>
      <c r="BE52" s="508"/>
      <c r="BF52" s="508" t="str">
        <f>IF(T52="","",T52)</f>
        <v/>
      </c>
      <c r="BG52" s="508"/>
      <c r="BH52" s="508"/>
      <c r="BI52" s="1163">
        <v>11</v>
      </c>
    </row>
    <row customHeight="1" ht="11.549999999999999">
      <c r="A53" s="1371"/>
      <c r="B53" s="1371"/>
      <c r="C53" s="1371"/>
      <c r="D53" s="1371"/>
      <c r="E53" s="2280"/>
      <c r="F53" s="2280"/>
      <c r="G53" s="2280"/>
      <c r="H53" s="2280"/>
      <c r="I53" s="2307"/>
      <c r="J53" s="2307"/>
      <c r="K53" s="2277"/>
      <c r="L53" s="1372"/>
      <c r="P53" s="2278"/>
      <c r="Q53" s="2278"/>
      <c r="R53" s="365"/>
      <c r="S53" s="2363"/>
      <c r="T53" s="2382"/>
      <c r="U53" s="308"/>
      <c r="V53" s="1401"/>
      <c r="W53" s="1504"/>
      <c r="X53" s="1401"/>
      <c r="Y53" s="1504"/>
      <c r="Z53" s="1401"/>
      <c r="AA53" s="1401"/>
      <c r="AB53" s="1401"/>
      <c r="AC53" s="1401"/>
      <c r="AD53" s="2207"/>
      <c r="AE53" s="2347"/>
      <c r="AF53" s="2226"/>
      <c r="AG53" s="2384"/>
      <c r="AH53" s="2128"/>
      <c r="AI53" s="2347"/>
      <c r="AJ53" s="2226"/>
      <c r="AK53" s="2348"/>
      <c r="AL53" s="2128"/>
      <c r="AM53" s="2221"/>
      <c r="AN53" s="2226"/>
      <c r="AO53" s="2378"/>
      <c r="AP53" s="2380"/>
      <c r="AQ53" s="324"/>
      <c r="AR53" s="424"/>
      <c r="AS53" s="424" t="s">
        <v>519</v>
      </c>
      <c r="AT53" s="1401"/>
      <c r="AU53" s="1504"/>
      <c r="AV53" s="1401"/>
      <c r="AW53" s="1504"/>
      <c r="AX53" s="1401"/>
      <c r="AY53" s="1401"/>
      <c r="AZ53" s="1401"/>
      <c r="BA53" s="1401"/>
      <c r="BB53" s="1405"/>
      <c r="BC53" s="2275"/>
      <c r="BE53" s="508"/>
      <c r="BF53" s="508"/>
      <c r="BG53" s="508"/>
      <c r="BH53" s="508"/>
      <c r="BI53" s="1163">
        <v>11</v>
      </c>
    </row>
    <row customHeight="1" ht="11.549999999999999">
      <c r="A54" s="1371" t="s">
        <v>278</v>
      </c>
      <c r="B54" s="1371"/>
      <c r="C54" s="1371"/>
      <c r="D54" s="1371"/>
      <c r="E54" s="2280"/>
      <c r="F54" s="2280"/>
      <c r="G54" s="2280"/>
      <c r="H54" s="2280"/>
      <c r="I54" s="2307"/>
      <c r="J54" s="2307"/>
      <c r="K54" s="2277"/>
      <c r="L54" s="1372"/>
      <c r="P54" s="2278"/>
      <c r="Q54" s="2278"/>
      <c r="R54" s="365"/>
      <c r="S54" s="2363"/>
      <c r="T54" s="2382"/>
      <c r="U54" s="308"/>
      <c r="V54" s="1401"/>
      <c r="W54" s="1504"/>
      <c r="X54" s="1401"/>
      <c r="Y54" s="1504"/>
      <c r="Z54" s="1401"/>
      <c r="AA54" s="1401"/>
      <c r="AB54" s="1401"/>
      <c r="AC54" s="1401"/>
      <c r="AD54" s="2207"/>
      <c r="AE54" s="2347"/>
      <c r="AF54" s="2226"/>
      <c r="AG54" s="2384"/>
      <c r="AH54" s="2128"/>
      <c r="AI54" s="2347"/>
      <c r="AJ54" s="2226"/>
      <c r="AK54" s="2348"/>
      <c r="AL54" s="2128"/>
      <c r="AM54" s="324"/>
      <c r="AN54" s="1508"/>
      <c r="AO54" s="1508" t="s">
        <v>520</v>
      </c>
      <c r="AP54" s="424"/>
      <c r="AQ54" s="424"/>
      <c r="AR54" s="424"/>
      <c r="AS54" s="1401"/>
      <c r="AT54" s="1401"/>
      <c r="AU54" s="1504"/>
      <c r="AV54" s="1401"/>
      <c r="AW54" s="1504"/>
      <c r="AX54" s="1401"/>
      <c r="AY54" s="1401"/>
      <c r="AZ54" s="1401"/>
      <c r="BA54" s="1401"/>
      <c r="BB54" s="1405"/>
      <c r="BC54" s="2275"/>
      <c r="BE54" s="508"/>
      <c r="BF54" s="508"/>
      <c r="BG54" s="508"/>
      <c r="BH54" s="508"/>
      <c r="BI54" s="1163">
        <v>11</v>
      </c>
    </row>
    <row customHeight="1" ht="11.549999999999999">
      <c r="A55" s="1371" t="s">
        <v>278</v>
      </c>
      <c r="B55" s="1371"/>
      <c r="C55" s="1371"/>
      <c r="D55" s="1371"/>
      <c r="E55" s="2280"/>
      <c r="F55" s="2280"/>
      <c r="G55" s="2280"/>
      <c r="H55" s="2280"/>
      <c r="I55" s="2307"/>
      <c r="J55" s="2307"/>
      <c r="K55" s="2277"/>
      <c r="L55" s="1372"/>
      <c r="P55" s="2278"/>
      <c r="Q55" s="2278"/>
      <c r="R55" s="365"/>
      <c r="S55" s="2363"/>
      <c r="T55" s="2382"/>
      <c r="U55" s="308"/>
      <c r="V55" s="1401"/>
      <c r="W55" s="1504"/>
      <c r="X55" s="1401"/>
      <c r="Y55" s="1504"/>
      <c r="Z55" s="1401"/>
      <c r="AA55" s="1401"/>
      <c r="AB55" s="1401"/>
      <c r="AC55" s="1401"/>
      <c r="AD55" s="2207"/>
      <c r="AE55" s="2347"/>
      <c r="AF55" s="2226"/>
      <c r="AG55" s="2384"/>
      <c r="AH55" s="2128"/>
      <c r="AI55" s="302"/>
      <c r="AJ55" s="423"/>
      <c r="AK55" s="321" t="s">
        <v>521</v>
      </c>
      <c r="AL55" s="1401"/>
      <c r="AM55" s="1401"/>
      <c r="AN55" s="1401"/>
      <c r="AO55" s="1401"/>
      <c r="AP55" s="1401"/>
      <c r="AQ55" s="1401"/>
      <c r="AR55" s="1401"/>
      <c r="AS55" s="1401"/>
      <c r="AT55" s="1401"/>
      <c r="AU55" s="1504"/>
      <c r="AV55" s="1401"/>
      <c r="AW55" s="1504"/>
      <c r="AX55" s="1401"/>
      <c r="AY55" s="1401"/>
      <c r="AZ55" s="1401"/>
      <c r="BA55" s="1401"/>
      <c r="BB55" s="1405"/>
      <c r="BC55" s="2275"/>
      <c r="BE55" s="508"/>
      <c r="BF55" s="508"/>
      <c r="BG55" s="508"/>
      <c r="BH55" s="508"/>
      <c r="BI55" s="1163">
        <v>11</v>
      </c>
    </row>
    <row customHeight="1" ht="11.549999999999999">
      <c r="A56" s="1371" t="s">
        <v>278</v>
      </c>
      <c r="B56" s="1371" t="s">
        <v>279</v>
      </c>
      <c r="C56" s="1371" t="s">
        <v>280</v>
      </c>
      <c r="D56" s="1371" t="s">
        <v>561</v>
      </c>
      <c r="E56" s="2280"/>
      <c r="F56" s="2280"/>
      <c r="G56" s="2280"/>
      <c r="H56" s="2280"/>
      <c r="I56" s="2307"/>
      <c r="J56" s="2307"/>
      <c r="K56" s="2277"/>
      <c r="L56" s="1372"/>
      <c r="P56" s="2278"/>
      <c r="Q56" s="2278"/>
      <c r="R56" s="365"/>
      <c r="S56" s="2364"/>
      <c r="T56" s="2383"/>
      <c r="U56" s="308"/>
      <c r="V56" s="1401"/>
      <c r="W56" s="1402" t="str">
        <f>Z52&amp;"-"&amp;AB52</f>
        <v>-</v>
      </c>
      <c r="X56" s="1401"/>
      <c r="Y56" s="1402" t="str">
        <f>AB52&amp;"-"&amp;AD52</f>
        <v>-да</v>
      </c>
      <c r="Z56" s="1401"/>
      <c r="AA56" s="1401"/>
      <c r="AB56" s="1401"/>
      <c r="AC56" s="1401"/>
      <c r="AD56" s="2133"/>
      <c r="AE56" s="320"/>
      <c r="AF56" s="322"/>
      <c r="AG56" s="424" t="s">
        <v>522</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75"/>
      <c r="BE56" s="508"/>
      <c r="BF56" s="508" t="str">
        <f>IF(T56="","",T56)</f>
        <v/>
      </c>
      <c r="BG56" s="508"/>
      <c r="BH56" s="508"/>
      <c r="BI56" s="1163">
        <v>11</v>
      </c>
    </row>
    <row customHeight="1" ht="11.549999999999999">
      <c r="A57" s="1371" t="s">
        <v>278</v>
      </c>
      <c r="B57" s="1371" t="s">
        <v>279</v>
      </c>
      <c r="C57" s="1371" t="s">
        <v>280</v>
      </c>
      <c r="D57" s="1371" t="s">
        <v>561</v>
      </c>
      <c r="E57" s="2280"/>
      <c r="F57" s="2280"/>
      <c r="G57" s="2280"/>
      <c r="H57" s="2280"/>
      <c r="I57" s="2307"/>
      <c r="J57" s="2277"/>
      <c r="K57" s="1371"/>
      <c r="L57" s="1372"/>
      <c r="P57" s="2278"/>
      <c r="Q57" s="2278"/>
      <c r="R57" s="364"/>
      <c r="S57" s="1286"/>
      <c r="T57" s="295" t="s">
        <v>485</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76"/>
      <c r="BE57" s="508"/>
      <c r="BF57" s="508" t="str">
        <f>IF(T57="","",T57)</f>
        <v>Добавить строку</v>
      </c>
      <c r="BG57" s="508"/>
      <c r="BH57" s="508"/>
      <c r="BI57" s="1163">
        <v>11</v>
      </c>
    </row>
    <row s="1650" customFormat="1" customHeight="1" ht="0">
      <c r="A58" s="1351" t="s">
        <v>278</v>
      </c>
      <c r="B58" s="1351" t="s">
        <v>279</v>
      </c>
      <c r="C58" s="1351" t="s">
        <v>280</v>
      </c>
      <c r="D58" s="1351" t="s">
        <v>561</v>
      </c>
      <c r="E58" s="2280"/>
      <c r="F58" s="2280"/>
      <c r="G58" s="2280"/>
      <c r="H58" s="2280"/>
      <c r="I58" s="2277"/>
      <c r="J58" s="1351"/>
      <c r="K58" s="1351"/>
      <c r="L58" s="1354"/>
      <c r="M58" s="518"/>
      <c r="N58" s="518"/>
      <c r="O58" s="518"/>
      <c r="P58" s="2278"/>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278</v>
      </c>
      <c r="B59" s="1351" t="s">
        <v>279</v>
      </c>
      <c r="C59" s="1351" t="s">
        <v>280</v>
      </c>
      <c r="D59" s="1351" t="s">
        <v>561</v>
      </c>
      <c r="E59" s="2280"/>
      <c r="F59" s="2280"/>
      <c r="G59" s="2280"/>
      <c r="H59" s="2279"/>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278</v>
      </c>
      <c r="B60" s="1351" t="s">
        <v>279</v>
      </c>
      <c r="C60" s="1351" t="s">
        <v>280</v>
      </c>
      <c r="D60" s="1322"/>
      <c r="E60" s="2280"/>
      <c r="F60" s="2280"/>
      <c r="G60" s="2279"/>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278</v>
      </c>
      <c r="B61" s="1351" t="s">
        <v>279</v>
      </c>
      <c r="C61" s="1322"/>
      <c r="D61" s="1322"/>
      <c r="E61" s="2280"/>
      <c r="F61" s="2279"/>
      <c r="G61" s="1322"/>
      <c r="H61" s="1322"/>
      <c r="I61" s="1322"/>
      <c r="J61" s="1322"/>
      <c r="K61" s="1322"/>
      <c r="L61" s="1502"/>
      <c r="M61" s="1329"/>
      <c r="N61" s="1329"/>
      <c r="P61" s="1324"/>
      <c r="Q61" s="1325"/>
      <c r="R61" s="1324"/>
      <c r="S61" s="1330"/>
      <c r="T61" s="1333" t="s">
        <v>432</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278</v>
      </c>
      <c r="B62" s="1351"/>
      <c r="C62" s="1351"/>
      <c r="D62" s="1351"/>
      <c r="E62" s="2279"/>
      <c r="F62" s="1351"/>
      <c r="G62" s="1351"/>
      <c r="H62" s="1351"/>
      <c r="I62" s="1351"/>
      <c r="J62" s="1351"/>
      <c r="K62" s="1351"/>
      <c r="L62" s="1354"/>
      <c r="M62" s="1329"/>
      <c r="N62" s="1329"/>
      <c r="O62" s="526"/>
      <c r="P62" s="388"/>
      <c r="Q62" s="1352"/>
      <c r="R62" s="388"/>
      <c r="S62" s="1330"/>
      <c r="T62" s="1333" t="s">
        <v>433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465</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99EC3-9526-8725-BAAA-C600C7AD3904}" mc:Ignorable="x14ac xr xr2 xr3">
  <sheetPr>
    <tabColor theme="9" tint="-0.25"/>
  </sheetPr>
  <dimension ref="A1:AJ303"/>
  <sheetViews>
    <sheetView showGridLines="0" zoomScale="90" workbookViewId="0">
      <pane xSplit="8" ySplit="29" topLeftCell="M30" activePane="bottomRight" state="frozen"/>
      <selection pane="bottomLeft" activeCell="A30" sqref="A30"/>
      <selection pane="topRight" activeCell="I1" sqref="I1"/>
      <selection pane="bottomRight" activeCell="M24" sqref="M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3" style="1643" width="40.7109375" customWidth="1"/>
    <col min="14" max="14" style="1643" width="102.00390625" customWidth="1"/>
    <col min="15" max="15" style="1374" width="9.00390625" customWidth="1"/>
    <col min="16" max="16" style="1650" width="5.00390625" customWidth="1"/>
    <col min="17" max="17" style="1650" width="3.00390625" customWidth="1"/>
    <col min="18" max="21" style="1374" width="3.00390625" customWidth="1"/>
    <col min="22" max="22" style="1650" width="10.00390625" customWidth="1"/>
    <col min="23" max="23" style="1374" width="34.00390625" customWidth="1"/>
    <col min="24" max="24" style="1374" width="9.00390625" customWidth="1"/>
    <col min="25" max="25" style="744" width="8.00390625" customWidth="1"/>
    <col min="26" max="30" style="1374" width="8.00390625" customWidth="1"/>
    <col min="31" max="35" style="1640" width="8.00390625" customWidth="1"/>
    <col min="36" max="36" style="1643" width="9.140625" hidden="1"/>
  </cols>
  <sheetData>
    <row customHeight="1" ht="22.5" hidden="1">
      <c r="J1" s="1643"/>
      <c r="K1" s="1643"/>
      <c r="L1" s="1643"/>
      <c r="M1" s="1643"/>
      <c r="AJ1" s="1639" t="s">
        <v>14</v>
      </c>
    </row>
    <row customHeight="1" ht="23.25" hidden="1">
      <c r="B2" s="2120"/>
      <c r="C2" s="1175" t="s">
        <v>562</v>
      </c>
      <c r="D2" s="1646"/>
      <c r="E2" s="554">
        <f>B2</f>
        <v>0</v>
      </c>
      <c r="F2" s="555"/>
      <c r="G2" s="1654" t="s">
        <v>563</v>
      </c>
      <c r="H2" s="1654" t="s">
        <v>563</v>
      </c>
      <c r="I2" s="1654" t="s">
        <v>563</v>
      </c>
      <c r="J2" s="2387" t="s">
        <v>563</v>
      </c>
      <c r="K2" s="2387" t="s">
        <v>563</v>
      </c>
      <c r="L2" s="2387" t="s">
        <v>563</v>
      </c>
      <c r="M2" s="2387" t="s">
        <v>563</v>
      </c>
      <c r="N2" s="297" t="s">
        <v>564</v>
      </c>
      <c r="O2" s="551"/>
      <c r="AJ2" s="1639">
        <v>0</v>
      </c>
    </row>
    <row s="1650" customFormat="1" customHeight="1" ht="0.75" hidden="1">
      <c r="B3" s="2120"/>
      <c r="C3" s="1175"/>
      <c r="D3" s="556"/>
      <c r="E3" s="557"/>
      <c r="F3" s="558" t="s">
        <v>565</v>
      </c>
      <c r="G3" s="559"/>
      <c r="H3" s="1021">
        <f>H4*H5+H6</f>
        <v>0</v>
      </c>
      <c r="I3" s="559">
        <f>I4*I5+I6</f>
        <v>0</v>
      </c>
      <c r="J3" s="1381">
        <f>J4*J5+J6</f>
        <v>0</v>
      </c>
      <c r="K3" s="1381">
        <f>K4*K5+K6</f>
        <v>0</v>
      </c>
      <c r="L3" s="1381">
        <f>L4*L5+L6</f>
        <v>0</v>
      </c>
      <c r="M3" s="1381">
        <f>M4*M5+M6</f>
        <v>0</v>
      </c>
      <c r="N3" s="560"/>
      <c r="AJ3" s="1644">
        <v>0</v>
      </c>
    </row>
    <row customHeight="1" ht="23.25" hidden="1">
      <c r="B4" s="2120"/>
      <c r="C4" s="1175"/>
      <c r="D4" s="1646"/>
      <c r="E4" s="554" t="str">
        <f>B2&amp;".1"</f>
        <v>.1</v>
      </c>
      <c r="F4" s="561" t="s">
        <v>566</v>
      </c>
      <c r="G4" s="562"/>
      <c r="H4" s="549"/>
      <c r="I4" s="549"/>
      <c r="J4" s="759"/>
      <c r="K4" s="759"/>
      <c r="L4" s="759"/>
      <c r="M4" s="759"/>
      <c r="N4" s="297" t="s">
        <v>567</v>
      </c>
      <c r="O4" s="551"/>
      <c r="AJ4" s="1639">
        <v>0</v>
      </c>
    </row>
    <row customHeight="1" ht="18.75" hidden="1">
      <c r="B5" s="2120"/>
      <c r="C5" s="1175"/>
      <c r="D5" s="1646"/>
      <c r="E5" s="554" t="str">
        <f>B2&amp;".2"</f>
        <v>.2</v>
      </c>
      <c r="F5" s="561" t="s">
        <v>568</v>
      </c>
      <c r="G5" s="1654" t="s">
        <v>569</v>
      </c>
      <c r="H5" s="549"/>
      <c r="I5" s="549"/>
      <c r="J5" s="759"/>
      <c r="K5" s="759"/>
      <c r="L5" s="759"/>
      <c r="M5" s="759"/>
      <c r="N5" s="297"/>
      <c r="O5" s="551"/>
      <c r="AJ5" s="1639">
        <v>0</v>
      </c>
    </row>
    <row customHeight="1" ht="18.75" hidden="1">
      <c r="B6" s="2120"/>
      <c r="C6" s="1175"/>
      <c r="D6" s="1646"/>
      <c r="E6" s="554" t="str">
        <f>B2&amp;".3"</f>
        <v>.3</v>
      </c>
      <c r="F6" s="561" t="s">
        <v>570</v>
      </c>
      <c r="G6" s="1654" t="s">
        <v>569</v>
      </c>
      <c r="H6" s="549"/>
      <c r="I6" s="549"/>
      <c r="J6" s="759"/>
      <c r="K6" s="759"/>
      <c r="L6" s="759"/>
      <c r="M6" s="759"/>
      <c r="N6" s="297"/>
      <c r="O6" s="551"/>
      <c r="AJ6" s="1639">
        <v>0</v>
      </c>
    </row>
    <row customHeight="1" ht="18.75" hidden="1">
      <c r="B7" s="2120"/>
      <c r="C7" s="1175"/>
      <c r="D7" s="1646"/>
      <c r="E7" s="554" t="str">
        <f>B2&amp;".4"</f>
        <v>.4</v>
      </c>
      <c r="F7" s="561" t="s">
        <v>571</v>
      </c>
      <c r="G7" s="1654" t="s">
        <v>563</v>
      </c>
      <c r="H7" s="563"/>
      <c r="I7" s="563"/>
      <c r="J7" s="563"/>
      <c r="K7" s="563"/>
      <c r="L7" s="563"/>
      <c r="M7" s="563"/>
      <c r="N7" s="297"/>
      <c r="O7" s="551"/>
      <c r="AJ7" s="1639">
        <v>0</v>
      </c>
    </row>
    <row s="1374" customFormat="1" customHeight="1" ht="11.25" hidden="1">
      <c r="A8" s="995"/>
      <c r="C8" s="1644"/>
      <c r="D8" s="545"/>
      <c r="H8" s="1168">
        <v>4</v>
      </c>
      <c r="I8" s="1168">
        <v>4</v>
      </c>
      <c r="J8" s="1374">
        <v>4</v>
      </c>
      <c r="K8" s="1374">
        <v>4</v>
      </c>
      <c r="L8" s="1374">
        <v>4</v>
      </c>
      <c r="M8" s="1374">
        <v>4</v>
      </c>
      <c r="P8" s="1644"/>
      <c r="Q8" s="1644"/>
      <c r="V8" s="1644"/>
      <c r="AJ8" s="1168">
        <v>0</v>
      </c>
    </row>
    <row s="1374" customFormat="1" customHeight="1" ht="22.5" hidden="1">
      <c r="A9" s="995"/>
      <c r="C9" s="1644"/>
      <c r="D9" s="546"/>
      <c r="E9" s="1656"/>
      <c r="F9" s="548"/>
      <c r="G9" s="1654" t="s">
        <v>569</v>
      </c>
      <c r="H9" s="549"/>
      <c r="I9" s="549"/>
      <c r="J9" s="759"/>
      <c r="K9" s="759"/>
      <c r="L9" s="759"/>
      <c r="M9" s="759"/>
      <c r="N9" s="550" t="s">
        <v>572</v>
      </c>
      <c r="O9" s="551"/>
      <c r="P9" s="1644"/>
      <c r="Q9" s="1644"/>
      <c r="V9" s="1644"/>
      <c r="Y9" s="552"/>
      <c r="AE9" s="1640"/>
      <c r="AF9" s="1640"/>
      <c r="AG9" s="1640"/>
      <c r="AH9" s="1640"/>
      <c r="AI9" s="1640"/>
      <c r="AJ9" s="1168">
        <v>0</v>
      </c>
    </row>
    <row customHeight="1" ht="11.25" hidden="1">
      <c r="J10" s="1643"/>
      <c r="K10" s="1643"/>
      <c r="L10" s="1643"/>
      <c r="M10" s="1643"/>
      <c r="AJ10" s="1639">
        <v>0</v>
      </c>
    </row>
    <row customHeight="1" ht="18.75" hidden="1">
      <c r="D11" s="1646"/>
      <c r="E11" s="554"/>
      <c r="F11" s="548"/>
      <c r="G11" s="1654" t="s">
        <v>573</v>
      </c>
      <c r="H11" s="549"/>
      <c r="I11" s="549"/>
      <c r="J11" s="759"/>
      <c r="K11" s="759"/>
      <c r="L11" s="759"/>
      <c r="M11" s="759"/>
      <c r="N11" s="297" t="s">
        <v>574</v>
      </c>
      <c r="O11" s="551"/>
      <c r="AJ11" s="1639">
        <v>0</v>
      </c>
    </row>
    <row customHeight="1" ht="11.25" hidden="1">
      <c r="J12" s="1643"/>
      <c r="K12" s="1643"/>
      <c r="L12" s="1643"/>
      <c r="M12" s="1643"/>
      <c r="AJ12" s="1639">
        <v>0</v>
      </c>
    </row>
    <row customHeight="1" ht="22.5" hidden="1">
      <c r="D13" s="1646"/>
      <c r="E13" s="554"/>
      <c r="F13" s="548"/>
      <c r="G13" s="977" t="s">
        <v>575</v>
      </c>
      <c r="H13" s="553"/>
      <c r="I13" s="553"/>
      <c r="J13" s="553"/>
      <c r="K13" s="553"/>
      <c r="L13" s="553"/>
      <c r="M13" s="553"/>
      <c r="N13" s="753" t="s">
        <v>576</v>
      </c>
      <c r="O13" s="551"/>
      <c r="AJ13" s="1639">
        <v>0</v>
      </c>
    </row>
    <row customHeight="1" ht="11.25" hidden="1">
      <c r="J14" s="1643"/>
      <c r="K14" s="1643"/>
      <c r="L14" s="1643"/>
      <c r="M14" s="1643"/>
      <c r="AJ14" s="1639">
        <v>0</v>
      </c>
    </row>
    <row customHeight="1" ht="22.5" hidden="1">
      <c r="D15" s="1646"/>
      <c r="E15" s="554"/>
      <c r="F15" s="548"/>
      <c r="G15" s="1654" t="s">
        <v>577</v>
      </c>
      <c r="H15" s="553"/>
      <c r="I15" s="553"/>
      <c r="J15" s="553"/>
      <c r="K15" s="553"/>
      <c r="L15" s="553"/>
      <c r="M15" s="553"/>
      <c r="N15" s="297" t="s">
        <v>578</v>
      </c>
      <c r="O15" s="551"/>
      <c r="AJ15" s="1639">
        <v>0</v>
      </c>
    </row>
    <row customHeight="1" ht="11.25" hidden="1">
      <c r="J16" s="1643"/>
      <c r="K16" s="1643"/>
      <c r="L16" s="1643"/>
      <c r="M16" s="1643"/>
      <c r="AJ16" s="1639">
        <v>0</v>
      </c>
    </row>
    <row customHeight="1" ht="22.5" hidden="1">
      <c r="D17" s="1646"/>
      <c r="E17" s="554"/>
      <c r="F17" s="548"/>
      <c r="G17" s="1654" t="s">
        <v>579</v>
      </c>
      <c r="H17" s="553"/>
      <c r="I17" s="553"/>
      <c r="J17" s="553"/>
      <c r="K17" s="553"/>
      <c r="L17" s="553"/>
      <c r="M17" s="553"/>
      <c r="N17" s="297" t="s">
        <v>580</v>
      </c>
      <c r="O17" s="551"/>
      <c r="AJ17" s="1639">
        <v>0</v>
      </c>
    </row>
    <row customHeight="1" ht="11.25" hidden="1">
      <c r="J18" s="1643"/>
      <c r="K18" s="1643"/>
      <c r="L18" s="1643"/>
      <c r="M18" s="1643"/>
      <c r="AJ18" s="1639">
        <v>0</v>
      </c>
    </row>
    <row s="1640" customFormat="1" customHeight="1" ht="11.25" hidden="1">
      <c r="A19" s="995"/>
      <c r="B19" s="1168"/>
      <c r="C19" s="1644"/>
      <c r="D19" s="370"/>
      <c r="J19" s="1640"/>
      <c r="K19" s="1640"/>
      <c r="L19" s="1640"/>
      <c r="M19" s="1640"/>
      <c r="N19" s="1640">
        <v>4</v>
      </c>
      <c r="O19" s="1168"/>
      <c r="P19" s="1644"/>
      <c r="Q19" s="1644"/>
      <c r="R19" s="1168"/>
      <c r="S19" s="1168"/>
      <c r="T19" s="1168"/>
      <c r="U19" s="1168"/>
      <c r="V19" s="1644"/>
      <c r="W19" s="1168"/>
      <c r="X19" s="1168"/>
      <c r="Y19" s="552"/>
      <c r="Z19" s="1168"/>
      <c r="AA19" s="1168"/>
      <c r="AB19" s="1168"/>
      <c r="AC19" s="1168"/>
      <c r="AD19" s="1168"/>
      <c r="AJ19" s="1640">
        <v>0</v>
      </c>
    </row>
    <row customHeight="1" ht="11.549999999999999">
      <c r="J20" s="1643"/>
      <c r="K20" s="1643"/>
      <c r="L20" s="1643"/>
      <c r="M20" s="1643"/>
      <c r="AJ20" s="1639">
        <v>11</v>
      </c>
    </row>
    <row customHeight="1" ht="25.2">
      <c r="E21" s="226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69"/>
      <c r="G21" s="2269"/>
      <c r="H21" s="2269"/>
      <c r="I21" s="2269"/>
      <c r="J21" s="2269"/>
      <c r="K21" s="2269"/>
      <c r="L21" s="2269"/>
      <c r="M21" s="2269"/>
      <c r="N21" s="564"/>
      <c r="AJ21" s="1639">
        <v>24</v>
      </c>
    </row>
    <row customHeight="1" ht="25.2">
      <c r="E22" s="2270" t="str">
        <f>IF(org=0,"Не определено",org)</f>
        <v>АО "ДГК"</v>
      </c>
      <c r="F22" s="2270"/>
      <c r="G22" s="2270"/>
      <c r="H22" s="2270"/>
      <c r="I22" s="2270"/>
      <c r="J22" s="2270"/>
      <c r="K22" s="2270"/>
      <c r="L22" s="2270"/>
      <c r="M22" s="2270"/>
      <c r="AJ22" s="1639">
        <v>24</v>
      </c>
    </row>
    <row customHeight="1" ht="11.549999999999999">
      <c r="E23" s="1143"/>
      <c r="F23" s="1143"/>
      <c r="G23" s="1143"/>
      <c r="H23" s="1143"/>
      <c r="I23" s="1143"/>
      <c r="J23" s="1144" t="s">
        <v>22</v>
      </c>
      <c r="K23" s="1144" t="s">
        <v>22</v>
      </c>
      <c r="L23" s="1144" t="s">
        <v>22</v>
      </c>
      <c r="M23" s="1144" t="s">
        <v>22</v>
      </c>
      <c r="AJ23" s="1639">
        <v>11</v>
      </c>
    </row>
    <row s="1650" customFormat="1" customHeight="1" ht="1.05">
      <c r="A24" s="1175"/>
      <c r="D24" s="1650"/>
      <c r="H24" s="897"/>
      <c r="I24" s="897" t="s">
        <v>126</v>
      </c>
      <c r="J24" s="897" t="s">
        <v>132</v>
      </c>
      <c r="K24" s="897" t="s">
        <v>135</v>
      </c>
      <c r="L24" s="897" t="s">
        <v>137</v>
      </c>
      <c r="M24" s="897" t="s">
        <v>139</v>
      </c>
      <c r="AJ24" s="1644">
        <v>1</v>
      </c>
    </row>
    <row customHeight="1" ht="11.549999999999999">
      <c r="E25" s="719"/>
      <c r="F25" s="2388" t="s">
        <v>114</v>
      </c>
      <c r="G25" s="2389"/>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2414" t="str">
        <f>IF(J24="","",INDEX(DIFFERENTIATION_UNMERGE_VD,MATCH(J24,DIFFERENTIATION_ID_DIFF,0)))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414" t="str">
        <f>IF(K24="","",INDEX(DIFFERENTIATION_UNMERGE_VD,MATCH(K24,DIFFERENTIATION_ID_DIFF,0)))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414" t="str">
        <f>IF(L24="","",INDEX(DIFFERENTIATION_UNMERGE_VD,MATCH(L24,DIFFERENTIATION_ID_DIFF,0)))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M25" s="2414" t="str">
        <f>IF(M24="","",INDEX(DIFFERENTIATION_UNMERGE_VD,MATCH(M24,DIFFERENTIATION_ID_DIFF,0)))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5" s="2148"/>
      <c r="AJ25" s="1639">
        <v>11</v>
      </c>
    </row>
    <row customHeight="1" ht="11.549999999999999">
      <c r="E26" s="719"/>
      <c r="F26" s="2388" t="s">
        <v>581</v>
      </c>
      <c r="G26" s="2389"/>
      <c r="H26" s="1660" t="str">
        <f>IF(H24="","",INDEX(DIFFERENTIATION_UNMERGE_AREA,MATCH(H24,DIFFERENTIATION_ID_DIFF,0)))</f>
        <v/>
      </c>
      <c r="I26" s="1660" t="str">
        <f>IF(I24="","",INDEX(DIFFERENTIATION_UNMERGE_AREA,MATCH(I24,DIFFERENTIATION_ID_DIFF,0)))</f>
        <v>Территория 1</v>
      </c>
      <c r="J26" s="2414" t="str">
        <f>IF(J24="","",INDEX(DIFFERENTIATION_UNMERGE_AREA,MATCH(J24,DIFFERENTIATION_ID_DIFF,0)))</f>
        <v>Территория 2</v>
      </c>
      <c r="K26" s="2414" t="str">
        <f>IF(K24="","",INDEX(DIFFERENTIATION_UNMERGE_AREA,MATCH(K24,DIFFERENTIATION_ID_DIFF,0)))</f>
        <v>Территория 2</v>
      </c>
      <c r="L26" s="2414" t="str">
        <f>IF(L24="","",INDEX(DIFFERENTIATION_UNMERGE_AREA,MATCH(L24,DIFFERENTIATION_ID_DIFF,0)))</f>
        <v>Территория 3</v>
      </c>
      <c r="M26" s="2414" t="str">
        <f>IF(M24="","",INDEX(DIFFERENTIATION_UNMERGE_AREA,MATCH(M24,DIFFERENTIATION_ID_DIFF,0)))</f>
        <v>Территория 3</v>
      </c>
      <c r="N26" s="2148"/>
      <c r="AJ26" s="1639">
        <v>11</v>
      </c>
    </row>
    <row customHeight="1" ht="11.549999999999999">
      <c r="E27" s="719"/>
      <c r="F27" s="2388" t="s">
        <v>582</v>
      </c>
      <c r="G27" s="2389"/>
      <c r="H27" s="1660" t="str">
        <f>IF(H24="","",INDEX(DIFFERENTIATION_UNMERGE_SYSTEM,MATCH(H24,DIFFERENTIATION_ID_DIFF,0)))</f>
        <v/>
      </c>
      <c r="I27" s="1660" t="str">
        <f>IF(I24="","",INDEX(DIFFERENTIATION_UNMERGE_SYSTEM,MATCH(I24,DIFFERENTIATION_ID_DIFF,0)))</f>
        <v>Благовещенская ТЭЦ, ТС Благовещенск</v>
      </c>
      <c r="J27" s="2414" t="str">
        <f>IF(J24="","",INDEX(DIFFERENTIATION_UNMERGE_SYSTEM,MATCH(J24,DIFFERENTIATION_ID_DIFF,0)))</f>
        <v>Райчихинская ГРЭС, ТС Прогресс</v>
      </c>
      <c r="K27" s="2414" t="str">
        <f>IF(K24="","",INDEX(DIFFERENTIATION_UNMERGE_SYSTEM,MATCH(K24,DIFFERENTIATION_ID_DIFF,0)))</f>
        <v>Котельная (Новорайчихинск)</v>
      </c>
      <c r="L27" s="2414" t="str">
        <f>IF(L24="","",INDEX(DIFFERENTIATION_UNMERGE_SYSTEM,MATCH(L24,DIFFERENTIATION_ID_DIFF,0)))</f>
        <v>Благовещенская ТЭЦ (с. Чигири)</v>
      </c>
      <c r="M27" s="2414" t="str">
        <f>IF(M24="","",INDEX(DIFFERENTIATION_UNMERGE_SYSTEM,MATCH(M24,DIFFERENTIATION_ID_DIFF,0)))</f>
        <v>Котельная Центральная (с.Чигири)</v>
      </c>
      <c r="N27" s="2148"/>
      <c r="AJ27" s="1639">
        <v>11</v>
      </c>
    </row>
    <row customHeight="1" ht="11.549999999999999">
      <c r="E28" s="2390" t="s">
        <v>317</v>
      </c>
      <c r="F28" s="2391"/>
      <c r="G28" s="2391"/>
      <c r="H28" s="1653"/>
      <c r="I28" s="1653"/>
      <c r="J28" s="2388"/>
      <c r="K28" s="2388"/>
      <c r="L28" s="2388"/>
      <c r="M28" s="2388"/>
      <c r="N28" s="2148"/>
      <c r="AJ28" s="1639">
        <v>11</v>
      </c>
    </row>
    <row customHeight="1" ht="24">
      <c r="E29" s="1654" t="s">
        <v>88</v>
      </c>
      <c r="F29" s="1661" t="s">
        <v>319</v>
      </c>
      <c r="G29" s="1661" t="s">
        <v>583</v>
      </c>
      <c r="H29" s="1661" t="s">
        <v>320</v>
      </c>
      <c r="I29" s="1661" t="s">
        <v>320</v>
      </c>
      <c r="J29" s="2387" t="s">
        <v>320</v>
      </c>
      <c r="K29" s="2387" t="s">
        <v>320</v>
      </c>
      <c r="L29" s="2387" t="s">
        <v>320</v>
      </c>
      <c r="M29" s="2387" t="s">
        <v>320</v>
      </c>
      <c r="N29" s="2148"/>
      <c r="AJ29" s="1639">
        <v>23</v>
      </c>
    </row>
    <row customHeight="1" ht="19.95">
      <c r="D30" s="1646"/>
      <c r="E30" s="554">
        <f>FHD_NUM_P_1</f>
        <v>1</v>
      </c>
      <c r="F30" s="1885" t="str">
        <f>FHD_P_1</f>
        <v>Выручка от регулируемого вида деятельности с распределением по видам деятельности</v>
      </c>
      <c r="G30" s="1883" t="s">
        <v>569</v>
      </c>
      <c r="H30" s="565"/>
      <c r="I30" s="565"/>
      <c r="J30" s="565"/>
      <c r="K30" s="565"/>
      <c r="L30" s="565"/>
      <c r="M30" s="565"/>
      <c r="N30" s="297" t="str">
        <f>FHD_NOTE_P_1</f>
        <v>Указывается выручка от регулируемого вида деятельности с распределением по видам деятельности.</v>
      </c>
      <c r="O30" s="551"/>
      <c r="AJ30" s="1639">
        <v>19</v>
      </c>
    </row>
    <row customHeight="1" ht="11.549999999999999">
      <c r="D31" s="1646"/>
      <c r="E31" s="554">
        <f>FHD_NUM_P_2</f>
        <v>2</v>
      </c>
      <c r="F31" s="1885" t="str">
        <f>FHD_P_2</f>
        <v>Себестоимость производимых товаров (оказываемых услуг) по регулируемому виду деятельности, включая:</v>
      </c>
      <c r="G31" s="1883" t="s">
        <v>569</v>
      </c>
      <c r="H31" s="566">
        <f>SUMIF($O32:$O71,$O31,H32:H71)</f>
        <v>0</v>
      </c>
      <c r="I31" s="566">
        <f>SUMIF($O32:$O71,$O31,I32:I71)</f>
        <v>0</v>
      </c>
      <c r="J31" s="566">
        <f>SUMIF($O32:$O71,$O31,J32:J71)</f>
        <v>0</v>
      </c>
      <c r="K31" s="566">
        <f>SUMIF($O32:$O71,$O31,K32:K71)</f>
        <v>0</v>
      </c>
      <c r="L31" s="566">
        <f>SUMIF($O32:$O71,$O31,L32:L71)</f>
        <v>0</v>
      </c>
      <c r="M31" s="566">
        <f>SUMIF($O32:$O71,$O31,M32:M71)</f>
        <v>0</v>
      </c>
      <c r="N31" s="297" t="str">
        <f>FHD_NOTE_P_2</f>
        <v>Указывается суммарная себестоимость производимых товаров.</v>
      </c>
      <c r="O31" s="1644" t="s">
        <v>584</v>
      </c>
      <c r="AJ31" s="1639">
        <v>11</v>
      </c>
    </row>
    <row customHeight="1" ht="11.549999999999999">
      <c r="D32" s="1646"/>
      <c r="E32" s="554" t="str">
        <f>FHD_NUM_P_3</f>
        <v>2.1</v>
      </c>
      <c r="F32" s="1532" t="str">
        <f>FHD_P_3</f>
        <v>Расходы на приобретаемую тепловую энергию (мощность), теплоноситель</v>
      </c>
      <c r="G32" s="1883" t="s">
        <v>569</v>
      </c>
      <c r="H32" s="565"/>
      <c r="I32" s="565"/>
      <c r="J32" s="565"/>
      <c r="K32" s="565"/>
      <c r="L32" s="565"/>
      <c r="M32" s="565"/>
      <c r="N32" s="297" t="str">
        <f>FHD_NOTE_P_3</f>
        <v/>
      </c>
      <c r="O32" s="1644" t="str">
        <f>IF((LEN(E32)-LEN(SUBSTITUTE(E32,".","")))/LEN(".")=1,"p","")</f>
        <v>p</v>
      </c>
      <c r="AJ32" s="1639">
        <v>11</v>
      </c>
    </row>
    <row customHeight="1" ht="11.25">
      <c r="A33" s="2392" t="s">
        <v>585</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569</v>
      </c>
      <c r="H33" s="566">
        <f>SUMIF($F34:$F40,$F3,H34:H40)</f>
        <v>0</v>
      </c>
      <c r="I33" s="566">
        <f>SUMIF($F34:$F40,$F3,I34:I40)</f>
        <v>0</v>
      </c>
      <c r="J33" s="566">
        <f>SUMIF($F34:$F40,$F3,J34:J40)</f>
        <v>0</v>
      </c>
      <c r="K33" s="566">
        <f>SUMIF($F34:$F40,$F3,K34:K40)</f>
        <v>0</v>
      </c>
      <c r="L33" s="566">
        <f>SUMIF($F34:$F40,$F3,L34:L40)</f>
        <v>0</v>
      </c>
      <c r="M33" s="566">
        <f>SUMIF($F34:$F40,$F3,M34:M40)</f>
        <v>0</v>
      </c>
      <c r="N33" s="297" t="str">
        <f>FHD_NOTE_P_4</f>
        <v>Указываются суммарные расходы на приобретение топлива всех видов.</v>
      </c>
      <c r="O33" s="1644" t="str">
        <f>IF((LEN(E33)-LEN(SUBSTITUTE(E33,".","")))/LEN(".")=1,"p","")</f>
        <v>p</v>
      </c>
      <c r="AJ33" s="1639">
        <v>0</v>
      </c>
    </row>
    <row s="1649" customFormat="1" customHeight="1" ht="0.75">
      <c r="A34" s="2392"/>
      <c r="B34" s="2393" t="str">
        <f>E33&amp;".0"</f>
        <v>2.2.0</v>
      </c>
      <c r="C34" s="1175"/>
      <c r="D34" s="568"/>
      <c r="E34" s="569"/>
      <c r="F34" s="570"/>
      <c r="G34" s="571"/>
      <c r="H34" s="505"/>
      <c r="I34" s="505"/>
      <c r="J34" s="505"/>
      <c r="K34" s="505"/>
      <c r="L34" s="505"/>
      <c r="M34" s="505"/>
      <c r="N34" s="572"/>
      <c r="O34" s="1644" t="str">
        <f>IF((LEN(E34)-LEN(SUBSTITUTE(E34,".","")))/LEN(".")=1,"p","")</f>
        <v/>
      </c>
      <c r="P34" s="1644"/>
      <c r="Q34" s="1644"/>
      <c r="R34" s="1644"/>
      <c r="S34" s="1644"/>
      <c r="T34" s="1644"/>
      <c r="U34" s="1644"/>
      <c r="V34" s="1644"/>
      <c r="W34" s="1644"/>
      <c r="X34" s="1644"/>
      <c r="Y34" s="573"/>
      <c r="Z34" s="1644"/>
      <c r="AA34" s="1644"/>
      <c r="AB34" s="1644"/>
      <c r="AC34" s="1644"/>
      <c r="AD34" s="1644"/>
      <c r="AE34" s="574"/>
      <c r="AF34" s="574"/>
      <c r="AG34" s="574"/>
      <c r="AH34" s="574"/>
      <c r="AI34" s="574"/>
      <c r="AJ34" s="1649">
        <v>0</v>
      </c>
    </row>
    <row s="1649" customFormat="1" customHeight="1" ht="0.75">
      <c r="A35" s="2392"/>
      <c r="B35" s="2393"/>
      <c r="C35" s="1175"/>
      <c r="D35" s="568"/>
      <c r="E35" s="575"/>
      <c r="F35" s="576"/>
      <c r="G35" s="571"/>
      <c r="H35" s="577"/>
      <c r="I35" s="577"/>
      <c r="J35" s="577"/>
      <c r="K35" s="577"/>
      <c r="L35" s="577"/>
      <c r="M35" s="577"/>
      <c r="N35" s="572"/>
      <c r="O35" s="1644" t="str">
        <f>IF((LEN(E35)-LEN(SUBSTITUTE(E35,".","")))/LEN(".")=1,"p","")</f>
        <v/>
      </c>
      <c r="P35" s="1644"/>
      <c r="Q35" s="1644"/>
      <c r="R35" s="1644"/>
      <c r="S35" s="1644"/>
      <c r="T35" s="1644"/>
      <c r="U35" s="1644"/>
      <c r="V35" s="1644"/>
      <c r="W35" s="1644"/>
      <c r="X35" s="1644"/>
      <c r="Y35" s="573"/>
      <c r="Z35" s="1644"/>
      <c r="AA35" s="1644"/>
      <c r="AB35" s="1644"/>
      <c r="AC35" s="1644"/>
      <c r="AD35" s="1644"/>
      <c r="AE35" s="574"/>
      <c r="AF35" s="574"/>
      <c r="AG35" s="574"/>
      <c r="AH35" s="574"/>
      <c r="AI35" s="574"/>
      <c r="AJ35" s="1649">
        <v>0</v>
      </c>
    </row>
    <row s="1649" customFormat="1" customHeight="1" ht="0.75">
      <c r="A36" s="2392"/>
      <c r="B36" s="2393"/>
      <c r="C36" s="1175"/>
      <c r="D36" s="568"/>
      <c r="E36" s="575"/>
      <c r="F36" s="576"/>
      <c r="G36" s="571"/>
      <c r="H36" s="577"/>
      <c r="I36" s="577"/>
      <c r="J36" s="577"/>
      <c r="K36" s="577"/>
      <c r="L36" s="577"/>
      <c r="M36" s="577"/>
      <c r="N36" s="572"/>
      <c r="O36" s="1644" t="str">
        <f>IF((LEN(E36)-LEN(SUBSTITUTE(E36,".","")))/LEN(".")=1,"p","")</f>
        <v/>
      </c>
      <c r="P36" s="1644"/>
      <c r="Q36" s="1644"/>
      <c r="R36" s="1644"/>
      <c r="S36" s="1644"/>
      <c r="T36" s="1644"/>
      <c r="U36" s="1644"/>
      <c r="V36" s="1644"/>
      <c r="W36" s="1644"/>
      <c r="X36" s="1644"/>
      <c r="Y36" s="573"/>
      <c r="Z36" s="1644"/>
      <c r="AA36" s="1644"/>
      <c r="AB36" s="1644"/>
      <c r="AC36" s="1644"/>
      <c r="AD36" s="1644"/>
      <c r="AE36" s="574"/>
      <c r="AF36" s="574"/>
      <c r="AG36" s="574"/>
      <c r="AH36" s="574"/>
      <c r="AI36" s="574"/>
      <c r="AJ36" s="1649">
        <v>0</v>
      </c>
    </row>
    <row s="1649" customFormat="1" customHeight="1" ht="0.75">
      <c r="A37" s="2392"/>
      <c r="B37" s="2393"/>
      <c r="C37" s="1175"/>
      <c r="D37" s="568"/>
      <c r="E37" s="575"/>
      <c r="F37" s="576"/>
      <c r="G37" s="571"/>
      <c r="H37" s="577"/>
      <c r="I37" s="577"/>
      <c r="J37" s="577"/>
      <c r="K37" s="577"/>
      <c r="L37" s="577"/>
      <c r="M37" s="577"/>
      <c r="N37" s="572"/>
      <c r="O37" s="1644" t="str">
        <f>IF((LEN(E37)-LEN(SUBSTITUTE(E37,".","")))/LEN(".")=1,"p","")</f>
        <v/>
      </c>
      <c r="P37" s="1644"/>
      <c r="Q37" s="1644"/>
      <c r="R37" s="1644"/>
      <c r="S37" s="1644"/>
      <c r="T37" s="1644"/>
      <c r="U37" s="1644"/>
      <c r="V37" s="1644"/>
      <c r="W37" s="1644"/>
      <c r="X37" s="1644"/>
      <c r="Y37" s="573"/>
      <c r="Z37" s="1644"/>
      <c r="AA37" s="1644"/>
      <c r="AB37" s="1644"/>
      <c r="AC37" s="1644"/>
      <c r="AD37" s="1644"/>
      <c r="AE37" s="574"/>
      <c r="AF37" s="574"/>
      <c r="AG37" s="574"/>
      <c r="AH37" s="574"/>
      <c r="AI37" s="574"/>
      <c r="AJ37" s="1649">
        <v>0</v>
      </c>
    </row>
    <row s="1649" customFormat="1" customHeight="1" ht="0.75">
      <c r="A38" s="2392"/>
      <c r="B38" s="2393"/>
      <c r="C38" s="1175"/>
      <c r="D38" s="568"/>
      <c r="E38" s="575"/>
      <c r="F38" s="576"/>
      <c r="G38" s="571"/>
      <c r="H38" s="577"/>
      <c r="I38" s="577"/>
      <c r="J38" s="577"/>
      <c r="K38" s="577"/>
      <c r="L38" s="577"/>
      <c r="M38" s="577"/>
      <c r="N38" s="572"/>
      <c r="O38" s="1644" t="str">
        <f>IF((LEN(E38)-LEN(SUBSTITUTE(E38,".","")))/LEN(".")=1,"p","")</f>
        <v/>
      </c>
      <c r="P38" s="1644"/>
      <c r="Q38" s="1644"/>
      <c r="R38" s="1644"/>
      <c r="S38" s="1644"/>
      <c r="T38" s="1644"/>
      <c r="U38" s="1644"/>
      <c r="V38" s="1644"/>
      <c r="W38" s="1644"/>
      <c r="X38" s="1644"/>
      <c r="Y38" s="573"/>
      <c r="Z38" s="1644"/>
      <c r="AA38" s="1644"/>
      <c r="AB38" s="1644"/>
      <c r="AC38" s="1644"/>
      <c r="AD38" s="1644"/>
      <c r="AE38" s="574"/>
      <c r="AF38" s="574"/>
      <c r="AG38" s="574"/>
      <c r="AH38" s="574"/>
      <c r="AI38" s="574"/>
      <c r="AJ38" s="1649">
        <v>0</v>
      </c>
    </row>
    <row s="1649" customFormat="1" customHeight="1" ht="0.75">
      <c r="A39" s="2392"/>
      <c r="B39" s="2393"/>
      <c r="C39" s="1175"/>
      <c r="D39" s="568"/>
      <c r="E39" s="575"/>
      <c r="F39" s="576"/>
      <c r="G39" s="571"/>
      <c r="H39" s="505"/>
      <c r="I39" s="505"/>
      <c r="J39" s="505"/>
      <c r="K39" s="505"/>
      <c r="L39" s="505"/>
      <c r="M39" s="505"/>
      <c r="N39" s="572"/>
      <c r="O39" s="1644" t="str">
        <f>IF((LEN(E39)-LEN(SUBSTITUTE(E39,".","")))/LEN(".")=1,"p","")</f>
        <v/>
      </c>
      <c r="P39" s="1644"/>
      <c r="Q39" s="1644"/>
      <c r="R39" s="1644"/>
      <c r="S39" s="1644"/>
      <c r="T39" s="1644"/>
      <c r="U39" s="1644"/>
      <c r="V39" s="1644"/>
      <c r="W39" s="1644"/>
      <c r="X39" s="1644"/>
      <c r="Y39" s="573"/>
      <c r="Z39" s="1644"/>
      <c r="AA39" s="1644"/>
      <c r="AB39" s="1644"/>
      <c r="AC39" s="1644"/>
      <c r="AD39" s="1644"/>
      <c r="AE39" s="574"/>
      <c r="AF39" s="574"/>
      <c r="AG39" s="574"/>
      <c r="AH39" s="574"/>
      <c r="AI39" s="574"/>
      <c r="AJ39" s="1649">
        <v>0</v>
      </c>
    </row>
    <row s="1374" customFormat="1" customHeight="1" ht="15">
      <c r="A40" s="2392"/>
      <c r="C40" s="1644"/>
      <c r="D40" s="1641"/>
      <c r="E40" s="578"/>
      <c r="F40" s="579" t="s">
        <v>586</v>
      </c>
      <c r="G40" s="580"/>
      <c r="H40" s="581"/>
      <c r="I40" s="581"/>
      <c r="J40" s="2659"/>
      <c r="K40" s="2660"/>
      <c r="L40" s="2661"/>
      <c r="M40" s="2662"/>
      <c r="N40" s="309"/>
      <c r="O40" s="1644" t="str">
        <f>IF((LEN(E40)-LEN(SUBSTITUTE(E40,".","")))/LEN(".")=1,"p","")</f>
        <v/>
      </c>
      <c r="P40" s="1644"/>
      <c r="Q40" s="1644"/>
      <c r="V40" s="1644"/>
      <c r="Y40" s="552"/>
      <c r="AE40" s="1640"/>
      <c r="AF40" s="1640"/>
      <c r="AG40" s="1640"/>
      <c r="AH40" s="1640"/>
      <c r="AI40" s="1640"/>
      <c r="AJ40" s="1168">
        <v>0</v>
      </c>
    </row>
    <row customHeight="1" ht="11.25" hidden="1">
      <c r="A41" s="2392" t="s">
        <v>587</v>
      </c>
      <c r="D41" s="1646"/>
      <c r="E41" s="554" t="str">
        <f>FHD_NUM_P_5</f>
        <v/>
      </c>
      <c r="F41" s="1532" t="str">
        <f>FHD_P_5</f>
        <v/>
      </c>
      <c r="G41" s="1883" t="s">
        <v>569</v>
      </c>
      <c r="H41" s="565"/>
      <c r="I41" s="565"/>
      <c r="J41" s="565"/>
      <c r="K41" s="565"/>
      <c r="L41" s="565"/>
      <c r="M41" s="565"/>
      <c r="N41" s="297" t="str">
        <f>FHD_NOTE_P_5</f>
        <v/>
      </c>
      <c r="O41" s="1644" t="str">
        <f>IF((LEN(E41)-LEN(SUBSTITUTE(E41,".","")))/LEN(".")=1,"p","")</f>
        <v/>
      </c>
      <c r="AJ41" s="1639">
        <v>0</v>
      </c>
    </row>
    <row customHeight="1" ht="11.25" hidden="1">
      <c r="A42" s="2392"/>
      <c r="D42" s="1646"/>
      <c r="E42" s="554" t="str">
        <f>FHD_NUM_P_6</f>
        <v/>
      </c>
      <c r="F42" s="1532" t="str">
        <f>FHD_P_6</f>
        <v/>
      </c>
      <c r="G42" s="1883" t="s">
        <v>569</v>
      </c>
      <c r="H42" s="565"/>
      <c r="I42" s="565"/>
      <c r="J42" s="565"/>
      <c r="K42" s="565"/>
      <c r="L42" s="565"/>
      <c r="M42" s="565"/>
      <c r="N42" s="297" t="str">
        <f>FHD_NOTE_P_6</f>
        <v/>
      </c>
      <c r="O42" s="1644" t="str">
        <f>IF((LEN(E42)-LEN(SUBSTITUTE(E42,".","")))/LEN(".")=1,"p","")</f>
        <v/>
      </c>
      <c r="AJ42" s="1639">
        <v>0</v>
      </c>
    </row>
    <row customHeight="1" ht="11.25" hidden="1">
      <c r="A43" s="2392"/>
      <c r="D43" s="1646"/>
      <c r="E43" s="554" t="str">
        <f>FHD_NUM_P_7</f>
        <v/>
      </c>
      <c r="F43" s="1532" t="str">
        <f>FHD_P_7</f>
        <v/>
      </c>
      <c r="G43" s="1883" t="s">
        <v>569</v>
      </c>
      <c r="H43" s="565"/>
      <c r="I43" s="565"/>
      <c r="J43" s="565"/>
      <c r="K43" s="565"/>
      <c r="L43" s="565"/>
      <c r="M43" s="565"/>
      <c r="N43" s="297" t="str">
        <f>FHD_NOTE_P_7</f>
        <v/>
      </c>
      <c r="O43" s="1644" t="str">
        <f>IF((LEN(E43)-LEN(SUBSTITUTE(E43,".","")))/LEN(".")=1,"p","")</f>
        <v/>
      </c>
      <c r="AJ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3" t="s">
        <v>569</v>
      </c>
      <c r="H44" s="565"/>
      <c r="I44" s="565"/>
      <c r="J44" s="565"/>
      <c r="K44" s="565"/>
      <c r="L44" s="565"/>
      <c r="M44" s="565"/>
      <c r="N44" s="297" t="str">
        <f>FHD_NOTE_P_8</f>
        <v/>
      </c>
      <c r="O44" s="1644" t="str">
        <f>IF((LEN(E44)-LEN(SUBSTITUTE(E44,".","")))/LEN(".")=1,"p","")</f>
        <v>p</v>
      </c>
      <c r="AJ44" s="1639">
        <v>11</v>
      </c>
    </row>
    <row customHeight="1" ht="11.549999999999999">
      <c r="D45" s="1646"/>
      <c r="E45" s="554" t="str">
        <f>FHD_NUM_P_9</f>
        <v>2.3.1</v>
      </c>
      <c r="F45" s="1658" t="str">
        <f>FHD_P_9</f>
        <v>Средневзвешенная стоимость 1 кВт.ч</v>
      </c>
      <c r="G45" s="1883" t="s">
        <v>588</v>
      </c>
      <c r="H45" s="565"/>
      <c r="I45" s="565"/>
      <c r="J45" s="565"/>
      <c r="K45" s="565"/>
      <c r="L45" s="565"/>
      <c r="M45" s="565"/>
      <c r="N45" s="297" t="str">
        <f>FHD_NOTE_P_9</f>
        <v/>
      </c>
      <c r="O45" s="1644" t="str">
        <f>IF((LEN(E45)-LEN(SUBSTITUTE(E45,".","")))/LEN(".")=1,"p","")</f>
        <v/>
      </c>
      <c r="AJ45" s="1639">
        <v>11</v>
      </c>
    </row>
    <row s="1374" customFormat="1" customHeight="1" ht="11.549999999999999">
      <c r="A46" s="995"/>
      <c r="C46" s="1644"/>
      <c r="D46" s="582"/>
      <c r="E46" s="554" t="str">
        <f>FHD_NUM_P_10</f>
        <v>2.3.2</v>
      </c>
      <c r="F46" s="1658" t="str">
        <f>FHD_P_10</f>
        <v>Объём приобретения электрической энергии</v>
      </c>
      <c r="G46" s="1883" t="s">
        <v>589</v>
      </c>
      <c r="H46" s="565"/>
      <c r="I46" s="565"/>
      <c r="J46" s="565"/>
      <c r="K46" s="565"/>
      <c r="L46" s="565"/>
      <c r="M46" s="565"/>
      <c r="N46" s="297" t="str">
        <f>FHD_NOTE_P_10</f>
        <v/>
      </c>
      <c r="O46" s="1644" t="str">
        <f>IF((LEN(E46)-LEN(SUBSTITUTE(E46,".","")))/LEN(".")=1,"p","")</f>
        <v/>
      </c>
      <c r="P46" s="1644"/>
      <c r="Q46" s="1644"/>
      <c r="V46" s="1644"/>
      <c r="Y46" s="552"/>
      <c r="AE46" s="1640"/>
      <c r="AF46" s="1640"/>
      <c r="AG46" s="1640"/>
      <c r="AH46" s="1640"/>
      <c r="AI46" s="1640"/>
      <c r="AJ46" s="1168">
        <v>11</v>
      </c>
    </row>
    <row s="1374" customFormat="1" customHeight="1" ht="11.25">
      <c r="A47" s="997" t="s">
        <v>590</v>
      </c>
      <c r="C47" s="1644"/>
      <c r="D47" s="583"/>
      <c r="E47" s="554" t="str">
        <f>FHD_NUM_P_11</f>
        <v>2.4</v>
      </c>
      <c r="F47" s="1532" t="str">
        <f>FHD_P_11</f>
        <v>Расходы на приобретение холодной воды, используемой в технологическом процессе</v>
      </c>
      <c r="G47" s="1883" t="s">
        <v>569</v>
      </c>
      <c r="H47" s="565"/>
      <c r="I47" s="565"/>
      <c r="J47" s="565"/>
      <c r="K47" s="565"/>
      <c r="L47" s="565"/>
      <c r="M47" s="565"/>
      <c r="N47" s="297" t="str">
        <f>FHD_NOTE_P_11</f>
        <v/>
      </c>
      <c r="O47" s="1644" t="str">
        <f>IF((LEN(E47)-LEN(SUBSTITUTE(E47,".","")))/LEN(".")=1,"p","")</f>
        <v>p</v>
      </c>
      <c r="P47" s="1644"/>
      <c r="Q47" s="1644"/>
      <c r="V47" s="1644"/>
      <c r="Y47" s="552"/>
      <c r="AE47" s="1640"/>
      <c r="AF47" s="1640"/>
      <c r="AG47" s="1640"/>
      <c r="AH47" s="1640"/>
      <c r="AI47" s="1640"/>
      <c r="AJ47" s="1168">
        <v>0</v>
      </c>
    </row>
    <row s="1374" customFormat="1" customHeight="1" ht="18.75">
      <c r="A48" s="997" t="s">
        <v>591</v>
      </c>
      <c r="C48" s="1644"/>
      <c r="D48" s="1646"/>
      <c r="E48" s="554" t="str">
        <f>FHD_NUM_P_12</f>
        <v>2.5</v>
      </c>
      <c r="F48" s="1532" t="str">
        <f>FHD_P_12</f>
        <v>Расходы на  хим. реагенты, используемые в технологическом процессе</v>
      </c>
      <c r="G48" s="1883" t="s">
        <v>569</v>
      </c>
      <c r="H48" s="585"/>
      <c r="I48" s="585"/>
      <c r="J48" s="585"/>
      <c r="K48" s="585"/>
      <c r="L48" s="585"/>
      <c r="M48" s="585"/>
      <c r="N48" s="297" t="str">
        <f>FHD_NOTE_P_12</f>
        <v/>
      </c>
      <c r="O48" s="1644" t="str">
        <f>IF((LEN(E48)-LEN(SUBSTITUTE(E48,".","")))/LEN(".")=1,"p","")</f>
        <v>p</v>
      </c>
      <c r="P48" s="1644"/>
      <c r="Q48" s="1644"/>
      <c r="V48" s="1644"/>
      <c r="Y48" s="552"/>
      <c r="AE48" s="1640"/>
      <c r="AF48" s="1640"/>
      <c r="AG48" s="1640"/>
      <c r="AH48" s="1640"/>
      <c r="AI48" s="1640"/>
      <c r="AJ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569</v>
      </c>
      <c r="H49" s="565"/>
      <c r="I49" s="565"/>
      <c r="J49" s="565"/>
      <c r="K49" s="565"/>
      <c r="L49" s="565"/>
      <c r="M49" s="565"/>
      <c r="N49" s="297" t="str">
        <f>FHD_NOTE_P_13</f>
        <v/>
      </c>
      <c r="O49" s="1644" t="str">
        <f>IF((LEN(E49)-LEN(SUBSTITUTE(E49,".","")))/LEN(".")=1,"p","")</f>
        <v>p</v>
      </c>
      <c r="P49" s="738"/>
      <c r="Q49" s="738"/>
      <c r="V49" s="738"/>
      <c r="Y49" s="739"/>
      <c r="AE49" s="740"/>
      <c r="AF49" s="740"/>
      <c r="AG49" s="740"/>
      <c r="AH49" s="740"/>
      <c r="AI49" s="740"/>
      <c r="AJ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3" t="s">
        <v>569</v>
      </c>
      <c r="H50" s="565"/>
      <c r="I50" s="565"/>
      <c r="J50" s="565"/>
      <c r="K50" s="565"/>
      <c r="L50" s="565"/>
      <c r="M50" s="565"/>
      <c r="N50" s="297" t="str">
        <f>FHD_NOTE_P_14</f>
        <v/>
      </c>
      <c r="O50" s="1644" t="str">
        <f>IF((LEN(E50)-LEN(SUBSTITUTE(E50,".","")))/LEN(".")=1,"p","")</f>
        <v/>
      </c>
      <c r="P50" s="738"/>
      <c r="Q50" s="738"/>
      <c r="V50" s="738"/>
      <c r="Y50" s="739"/>
      <c r="AE50" s="740"/>
      <c r="AF50" s="740"/>
      <c r="AG50" s="740"/>
      <c r="AH50" s="740"/>
      <c r="AI50" s="740"/>
      <c r="AJ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3" t="s">
        <v>569</v>
      </c>
      <c r="H51" s="565"/>
      <c r="I51" s="565"/>
      <c r="J51" s="565"/>
      <c r="K51" s="565"/>
      <c r="L51" s="565"/>
      <c r="M51" s="565"/>
      <c r="N51" s="297" t="str">
        <f>FHD_NOTE_P_15</f>
        <v/>
      </c>
      <c r="O51" s="1644" t="str">
        <f>IF((LEN(E51)-LEN(SUBSTITUTE(E51,".","")))/LEN(".")=1,"p","")</f>
        <v/>
      </c>
      <c r="P51" s="738"/>
      <c r="Q51" s="738"/>
      <c r="V51" s="738"/>
      <c r="Y51" s="739"/>
      <c r="AE51" s="740"/>
      <c r="AF51" s="740"/>
      <c r="AG51" s="740"/>
      <c r="AH51" s="740"/>
      <c r="AI51" s="740"/>
      <c r="AJ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3" t="s">
        <v>569</v>
      </c>
      <c r="H52" s="565"/>
      <c r="I52" s="565"/>
      <c r="J52" s="565"/>
      <c r="K52" s="565"/>
      <c r="L52" s="565"/>
      <c r="M52" s="565"/>
      <c r="N52" s="297" t="str">
        <f>FHD_NOTE_P_16</f>
        <v/>
      </c>
      <c r="O52" s="1644" t="str">
        <f>IF((LEN(E52)-LEN(SUBSTITUTE(E52,".","")))/LEN(".")=1,"p","")</f>
        <v>p</v>
      </c>
      <c r="P52" s="1644"/>
      <c r="Q52" s="1650"/>
      <c r="R52" s="545"/>
      <c r="S52" s="545"/>
      <c r="V52" s="1644"/>
      <c r="Y52" s="552"/>
      <c r="AE52" s="1640"/>
      <c r="AF52" s="1640"/>
      <c r="AG52" s="1640"/>
      <c r="AH52" s="1640"/>
      <c r="AI52" s="1640"/>
      <c r="AJ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3" t="s">
        <v>569</v>
      </c>
      <c r="H53" s="565"/>
      <c r="I53" s="565"/>
      <c r="J53" s="565"/>
      <c r="K53" s="565"/>
      <c r="L53" s="565"/>
      <c r="M53" s="565"/>
      <c r="N53" s="297" t="str">
        <f>FHD_NOTE_P_17</f>
        <v/>
      </c>
      <c r="O53" s="1644" t="str">
        <f>IF((LEN(E53)-LEN(SUBSTITUTE(E53,".","")))/LEN(".")=1,"p","")</f>
        <v/>
      </c>
      <c r="P53" s="1644"/>
      <c r="Q53" s="1650"/>
      <c r="R53" s="545"/>
      <c r="S53" s="545"/>
      <c r="V53" s="1644"/>
      <c r="Y53" s="552"/>
      <c r="AE53" s="1640"/>
      <c r="AF53" s="1640"/>
      <c r="AG53" s="1640"/>
      <c r="AH53" s="1640"/>
      <c r="AI53" s="1640"/>
      <c r="AJ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3" t="s">
        <v>569</v>
      </c>
      <c r="H54" s="565"/>
      <c r="I54" s="565"/>
      <c r="J54" s="565"/>
      <c r="K54" s="565"/>
      <c r="L54" s="565"/>
      <c r="M54" s="565"/>
      <c r="N54" s="297" t="str">
        <f>FHD_NOTE_P_18</f>
        <v/>
      </c>
      <c r="O54" s="1644" t="str">
        <f>IF((LEN(E54)-LEN(SUBSTITUTE(E54,".","")))/LEN(".")=1,"p","")</f>
        <v/>
      </c>
      <c r="P54" s="1644"/>
      <c r="Q54" s="1650"/>
      <c r="R54" s="545"/>
      <c r="S54" s="545"/>
      <c r="V54" s="1644"/>
      <c r="Y54" s="552"/>
      <c r="AE54" s="1640"/>
      <c r="AF54" s="1640"/>
      <c r="AG54" s="1640"/>
      <c r="AH54" s="1640"/>
      <c r="AI54" s="1640"/>
      <c r="AJ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3" t="s">
        <v>569</v>
      </c>
      <c r="H55" s="565"/>
      <c r="I55" s="565"/>
      <c r="J55" s="565"/>
      <c r="K55" s="565"/>
      <c r="L55" s="565"/>
      <c r="M55" s="565"/>
      <c r="N55" s="297" t="str">
        <f>FHD_NOTE_P_19</f>
        <v/>
      </c>
      <c r="O55" s="1644" t="str">
        <f>IF((LEN(E55)-LEN(SUBSTITUTE(E55,".","")))/LEN(".")=1,"p","")</f>
        <v>p</v>
      </c>
      <c r="P55" s="1644"/>
      <c r="Q55" s="1644"/>
      <c r="V55" s="1644"/>
      <c r="Y55" s="552"/>
      <c r="AE55" s="1640"/>
      <c r="AF55" s="1640"/>
      <c r="AG55" s="1640"/>
      <c r="AH55" s="1640"/>
      <c r="AI55" s="1640"/>
      <c r="AJ55" s="1168">
        <v>11</v>
      </c>
    </row>
    <row s="1374" customFormat="1" customHeight="1" ht="11.25" hidden="1">
      <c r="A56" s="995"/>
      <c r="C56" s="1644"/>
      <c r="D56" s="583"/>
      <c r="E56" s="554" t="str">
        <f>FHD_NUM_P_20</f>
        <v>2.8.1</v>
      </c>
      <c r="F56" s="1658" t="str">
        <f>FHD_P_20</f>
        <v>Расходы на амортизацию основных средств</v>
      </c>
      <c r="G56" s="1883" t="s">
        <v>569</v>
      </c>
      <c r="H56" s="565"/>
      <c r="I56" s="565"/>
      <c r="J56" s="565"/>
      <c r="K56" s="565"/>
      <c r="L56" s="565"/>
      <c r="M56" s="565"/>
      <c r="N56" s="297" t="str">
        <f>FHD_NOTE_P_20</f>
        <v/>
      </c>
      <c r="O56" s="1644" t="str">
        <f>IF((LEN(E56)-LEN(SUBSTITUTE(E56,".","")))/LEN(".")=1,"p","")</f>
        <v/>
      </c>
      <c r="P56" s="1644"/>
      <c r="Q56" s="1644"/>
      <c r="V56" s="1644"/>
      <c r="Y56" s="552"/>
      <c r="AE56" s="1640"/>
      <c r="AF56" s="1640"/>
      <c r="AG56" s="1640"/>
      <c r="AH56" s="1640"/>
      <c r="AI56" s="1640"/>
      <c r="AJ56" s="1168">
        <v>11</v>
      </c>
    </row>
    <row s="1374" customFormat="1" customHeight="1" ht="11.25" hidden="1">
      <c r="A57" s="995"/>
      <c r="C57" s="1644"/>
      <c r="D57" s="583"/>
      <c r="E57" s="554" t="str">
        <f>FHD_NUM_P_21</f>
        <v>2.8.2</v>
      </c>
      <c r="F57" s="1658" t="str">
        <f>FHD_P_21</f>
        <v>Расходы на амортизацию нематериальных активов</v>
      </c>
      <c r="G57" s="1883" t="s">
        <v>569</v>
      </c>
      <c r="H57" s="565"/>
      <c r="I57" s="565"/>
      <c r="J57" s="565"/>
      <c r="K57" s="565"/>
      <c r="L57" s="565"/>
      <c r="M57" s="565"/>
      <c r="N57" s="297" t="str">
        <f>FHD_NOTE_P_21</f>
        <v/>
      </c>
      <c r="O57" s="1644" t="str">
        <f>IF((LEN(E57)-LEN(SUBSTITUTE(E57,".","")))/LEN(".")=1,"p","")</f>
        <v/>
      </c>
      <c r="P57" s="1644"/>
      <c r="Q57" s="1644"/>
      <c r="V57" s="1644"/>
      <c r="Y57" s="552"/>
      <c r="AE57" s="1640"/>
      <c r="AF57" s="1640"/>
      <c r="AG57" s="1640"/>
      <c r="AH57" s="1640"/>
      <c r="AI57" s="1640"/>
      <c r="AJ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3" t="s">
        <v>569</v>
      </c>
      <c r="H58" s="565"/>
      <c r="I58" s="565"/>
      <c r="J58" s="565"/>
      <c r="K58" s="565"/>
      <c r="L58" s="565"/>
      <c r="M58" s="565"/>
      <c r="N58" s="297" t="str">
        <f>FHD_NOTE_P_22</f>
        <v/>
      </c>
      <c r="O58" s="1644" t="str">
        <f>IF((LEN(E58)-LEN(SUBSTITUTE(E58,".","")))/LEN(".")=1,"p","")</f>
        <v>p</v>
      </c>
      <c r="P58" s="1644"/>
      <c r="Q58" s="1644"/>
      <c r="V58" s="1644"/>
      <c r="Y58" s="552"/>
      <c r="AE58" s="1640"/>
      <c r="AF58" s="1640"/>
      <c r="AG58" s="1640"/>
      <c r="AH58" s="1640"/>
      <c r="AI58" s="1640"/>
      <c r="AJ58" s="1168">
        <v>11</v>
      </c>
    </row>
    <row s="1374" customFormat="1" customHeight="1" ht="11.549999999999999">
      <c r="A59" s="995"/>
      <c r="C59" s="1644"/>
      <c r="D59" s="583"/>
      <c r="E59" s="554" t="str">
        <f>FHD_NUM_P_23</f>
        <v>2.10</v>
      </c>
      <c r="F59" s="1532" t="str">
        <f>FHD_P_23</f>
        <v>Общепроизводственные расходы, в том числе:</v>
      </c>
      <c r="G59" s="1883" t="s">
        <v>569</v>
      </c>
      <c r="H59" s="565"/>
      <c r="I59" s="565"/>
      <c r="J59" s="565"/>
      <c r="K59" s="565"/>
      <c r="L59" s="565"/>
      <c r="M59" s="565"/>
      <c r="N59" s="297" t="str">
        <f>FHD_NOTE_P_23</f>
        <v>Указывается общая сумма общепроизводственных расходов.</v>
      </c>
      <c r="O59" s="1644" t="str">
        <f>IF((LEN(E59)-LEN(SUBSTITUTE(E59,".","")))/LEN(".")=1,"p","")</f>
        <v>p</v>
      </c>
      <c r="P59" s="1644"/>
      <c r="Q59" s="1644"/>
      <c r="V59" s="1644"/>
      <c r="Y59" s="552"/>
      <c r="AE59" s="1640"/>
      <c r="AF59" s="1640"/>
      <c r="AG59" s="1640"/>
      <c r="AH59" s="1640"/>
      <c r="AI59" s="1640"/>
      <c r="AJ59" s="1168">
        <v>11</v>
      </c>
    </row>
    <row s="1374" customFormat="1" customHeight="1" ht="11.549999999999999">
      <c r="A60" s="995"/>
      <c r="C60" s="1644"/>
      <c r="D60" s="583"/>
      <c r="E60" s="554" t="str">
        <f>FHD_NUM_P_24</f>
        <v>2.10.1</v>
      </c>
      <c r="F60" s="1658" t="str">
        <f>FHD_P_24</f>
        <v>Расходы на текущий ремонт</v>
      </c>
      <c r="G60" s="1883" t="s">
        <v>569</v>
      </c>
      <c r="H60" s="565"/>
      <c r="I60" s="565"/>
      <c r="J60" s="565"/>
      <c r="K60" s="565"/>
      <c r="L60" s="565"/>
      <c r="M60" s="565"/>
      <c r="N60" s="297" t="str">
        <f>FHD_NOTE_P_24</f>
        <v>Указываются расходы на текущий ремонт, отнесенные к общепроизводственным расходам.</v>
      </c>
      <c r="O60" s="1644" t="str">
        <f>IF((LEN(E60)-LEN(SUBSTITUTE(E60,".","")))/LEN(".")=1,"p","")</f>
        <v/>
      </c>
      <c r="P60" s="1644"/>
      <c r="Q60" s="1644"/>
      <c r="V60" s="1644"/>
      <c r="Y60" s="552"/>
      <c r="AE60" s="1640"/>
      <c r="AF60" s="1640"/>
      <c r="AG60" s="1640"/>
      <c r="AH60" s="1640"/>
      <c r="AI60" s="1640"/>
      <c r="AJ60" s="1168">
        <v>11</v>
      </c>
    </row>
    <row s="1374" customFormat="1" customHeight="1" ht="11.549999999999999">
      <c r="A61" s="995"/>
      <c r="C61" s="1644"/>
      <c r="D61" s="583"/>
      <c r="E61" s="554" t="str">
        <f>FHD_NUM_P_25</f>
        <v>2.10.2</v>
      </c>
      <c r="F61" s="1658" t="str">
        <f>FHD_P_25</f>
        <v>Расходы на капитальный ремонт</v>
      </c>
      <c r="G61" s="1883" t="s">
        <v>569</v>
      </c>
      <c r="H61" s="565"/>
      <c r="I61" s="565"/>
      <c r="J61" s="565"/>
      <c r="K61" s="565"/>
      <c r="L61" s="565"/>
      <c r="M61" s="565"/>
      <c r="N61" s="297" t="str">
        <f>FHD_NOTE_P_25</f>
        <v>Указываются расходы на капитальный ремонт, отнесенные к общепроизводственным расходам.</v>
      </c>
      <c r="O61" s="1644" t="str">
        <f>IF((LEN(E61)-LEN(SUBSTITUTE(E61,".","")))/LEN(".")=1,"p","")</f>
        <v/>
      </c>
      <c r="P61" s="1644"/>
      <c r="Q61" s="1644"/>
      <c r="V61" s="1644"/>
      <c r="Y61" s="552"/>
      <c r="AE61" s="1640"/>
      <c r="AF61" s="1640"/>
      <c r="AG61" s="1640"/>
      <c r="AH61" s="1640"/>
      <c r="AI61" s="1640"/>
      <c r="AJ61" s="1168">
        <v>11</v>
      </c>
    </row>
    <row s="1374" customFormat="1" customHeight="1" ht="11.549999999999999">
      <c r="A62" s="995"/>
      <c r="C62" s="1644"/>
      <c r="D62" s="1646"/>
      <c r="E62" s="554" t="str">
        <f>FHD_NUM_P_26</f>
        <v>2.11</v>
      </c>
      <c r="F62" s="1532" t="str">
        <f>FHD_P_26</f>
        <v>Общехозяйственные расходы, в том числе:</v>
      </c>
      <c r="G62" s="1883" t="s">
        <v>569</v>
      </c>
      <c r="H62" s="565"/>
      <c r="I62" s="565"/>
      <c r="J62" s="565"/>
      <c r="K62" s="565"/>
      <c r="L62" s="565"/>
      <c r="M62" s="565"/>
      <c r="N62" s="297" t="str">
        <f>FHD_NOTE_P_26</f>
        <v>Указывается общая сумма общехозяйственных расходов.</v>
      </c>
      <c r="O62" s="1644" t="str">
        <f>IF((LEN(E62)-LEN(SUBSTITUTE(E62,".","")))/LEN(".")=1,"p","")</f>
        <v>p</v>
      </c>
      <c r="P62" s="1644"/>
      <c r="Q62" s="1644"/>
      <c r="V62" s="1644"/>
      <c r="Y62" s="552"/>
      <c r="AE62" s="1640"/>
      <c r="AF62" s="1640"/>
      <c r="AG62" s="1640"/>
      <c r="AH62" s="1640"/>
      <c r="AI62" s="1640"/>
      <c r="AJ62" s="1168">
        <v>11</v>
      </c>
    </row>
    <row s="1374" customFormat="1" customHeight="1" ht="11.549999999999999">
      <c r="A63" s="995"/>
      <c r="C63" s="1644"/>
      <c r="D63" s="1646"/>
      <c r="E63" s="554" t="str">
        <f>FHD_NUM_P_27</f>
        <v>2.11.1</v>
      </c>
      <c r="F63" s="1658" t="str">
        <f>FHD_P_27</f>
        <v>Расходы на текущий ремонт</v>
      </c>
      <c r="G63" s="1883" t="s">
        <v>569</v>
      </c>
      <c r="H63" s="565"/>
      <c r="I63" s="565"/>
      <c r="J63" s="565"/>
      <c r="K63" s="565"/>
      <c r="L63" s="565"/>
      <c r="M63" s="565"/>
      <c r="N63" s="297" t="str">
        <f>FHD_NOTE_P_27</f>
        <v>Указываются расходы на текущий ремонт, отнесенные к общехозяйственным расходам.</v>
      </c>
      <c r="O63" s="1644" t="str">
        <f>IF((LEN(E63)-LEN(SUBSTITUTE(E63,".","")))/LEN(".")=1,"p","")</f>
        <v/>
      </c>
      <c r="P63" s="1644"/>
      <c r="Q63" s="1644"/>
      <c r="V63" s="1644"/>
      <c r="Y63" s="552"/>
      <c r="AE63" s="1640"/>
      <c r="AF63" s="1640"/>
      <c r="AG63" s="1640"/>
      <c r="AH63" s="1640"/>
      <c r="AI63" s="1640"/>
      <c r="AJ63" s="1168">
        <v>11</v>
      </c>
    </row>
    <row s="1374" customFormat="1" customHeight="1" ht="11.549999999999999">
      <c r="A64" s="995"/>
      <c r="C64" s="1644"/>
      <c r="D64" s="1646"/>
      <c r="E64" s="554" t="str">
        <f>FHD_NUM_P_28</f>
        <v>2.11.2</v>
      </c>
      <c r="F64" s="1658" t="str">
        <f>FHD_P_28</f>
        <v>Расходы на капитальный ремонт</v>
      </c>
      <c r="G64" s="1883" t="s">
        <v>569</v>
      </c>
      <c r="H64" s="565"/>
      <c r="I64" s="565"/>
      <c r="J64" s="565"/>
      <c r="K64" s="565"/>
      <c r="L64" s="565"/>
      <c r="M64" s="565"/>
      <c r="N64" s="297" t="str">
        <f>FHD_NOTE_P_28</f>
        <v>Указываются расходы на капитальный ремонт, отнесенные к общехозяйственным расходам.</v>
      </c>
      <c r="O64" s="1644" t="str">
        <f>IF((LEN(E64)-LEN(SUBSTITUTE(E64,".","")))/LEN(".")=1,"p","")</f>
        <v/>
      </c>
      <c r="P64" s="1644"/>
      <c r="Q64" s="1644"/>
      <c r="V64" s="1644"/>
      <c r="Y64" s="552"/>
      <c r="AE64" s="1640"/>
      <c r="AF64" s="1640"/>
      <c r="AG64" s="1640"/>
      <c r="AH64" s="1640"/>
      <c r="AI64" s="1640"/>
      <c r="AJ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3" t="s">
        <v>569</v>
      </c>
      <c r="H65" s="565"/>
      <c r="I65" s="565"/>
      <c r="J65" s="565"/>
      <c r="K65" s="565"/>
      <c r="L65" s="565"/>
      <c r="M65" s="565"/>
      <c r="N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44" t="str">
        <f>IF((LEN(E65)-LEN(SUBSTITUTE(E65,".","")))/LEN(".")=1,"p","")</f>
        <v>p</v>
      </c>
      <c r="P65" s="1644"/>
      <c r="Q65" s="1644"/>
      <c r="V65" s="1644"/>
      <c r="Y65" s="552"/>
      <c r="AE65" s="1640"/>
      <c r="AF65" s="1640"/>
      <c r="AG65" s="1640"/>
      <c r="AH65" s="1640"/>
      <c r="AI65" s="1640"/>
      <c r="AJ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323</v>
      </c>
      <c r="H66" s="1657" t="s">
        <v>592</v>
      </c>
      <c r="I66" s="1657" t="s">
        <v>592</v>
      </c>
      <c r="J66" s="2506" t="s">
        <v>592</v>
      </c>
      <c r="K66" s="2506" t="s">
        <v>592</v>
      </c>
      <c r="L66" s="2506" t="s">
        <v>592</v>
      </c>
      <c r="M66" s="2506" t="s">
        <v>592</v>
      </c>
      <c r="N66" s="297" t="str">
        <f>FHD_NOTE_P_30</f>
        <v/>
      </c>
      <c r="O66" s="1644" t="str">
        <f>IF((LEN(E66)-LEN(SUBSTITUTE(E66,".","")))/LEN(".")=1,"p","")</f>
        <v/>
      </c>
      <c r="P66" s="1644">
        <f>_xlfn.IFERROR(MATCH("есть",B_FHD_FLAG_INDEX_1,0),0)</f>
        <v>0</v>
      </c>
      <c r="Q66" s="1644"/>
      <c r="V66" s="1644"/>
      <c r="Y66" s="552"/>
      <c r="AE66" s="1640"/>
      <c r="AF66" s="1640"/>
      <c r="AG66" s="1640"/>
      <c r="AH66" s="1640"/>
      <c r="AI66" s="1640"/>
      <c r="AJ66" s="1168">
        <v>11</v>
      </c>
    </row>
    <row s="1374" customFormat="1" customHeight="1" ht="23.25" hidden="1">
      <c r="A67" s="2392" t="s">
        <v>593</v>
      </c>
      <c r="C67" s="1644"/>
      <c r="D67" s="1646"/>
      <c r="E67" s="554" t="str">
        <f>FHD_NUM_P_31</f>
        <v/>
      </c>
      <c r="F67" s="1532" t="str">
        <f>FHD_P_31</f>
        <v/>
      </c>
      <c r="G67" s="1883" t="s">
        <v>569</v>
      </c>
      <c r="H67" s="565"/>
      <c r="I67" s="565"/>
      <c r="J67" s="565"/>
      <c r="K67" s="565"/>
      <c r="L67" s="565"/>
      <c r="M67" s="565"/>
      <c r="N67" s="297" t="str">
        <f>FHD_NOTE_P_31</f>
        <v/>
      </c>
      <c r="O67" s="1644" t="str">
        <f>IF((LEN(E67)-LEN(SUBSTITUTE(E67,".","")))/LEN(".")=1,"p","")</f>
        <v/>
      </c>
      <c r="P67" s="1644"/>
      <c r="Q67" s="1644"/>
      <c r="V67" s="1644"/>
      <c r="Y67" s="552"/>
      <c r="AE67" s="1640"/>
      <c r="AF67" s="1640"/>
      <c r="AG67" s="1640"/>
      <c r="AH67" s="1640"/>
      <c r="AI67" s="1640"/>
      <c r="AJ67" s="1168">
        <v>22</v>
      </c>
    </row>
    <row s="1374" customFormat="1" customHeight="1" ht="47.25" hidden="1">
      <c r="A68" s="2392"/>
      <c r="C68" s="1644"/>
      <c r="D68" s="1646"/>
      <c r="E68" s="554" t="str">
        <f>FHD_NUM_P_32</f>
        <v/>
      </c>
      <c r="F68" s="1658" t="str">
        <f>FHD_P_32</f>
        <v/>
      </c>
      <c r="G68" s="1883" t="s">
        <v>323</v>
      </c>
      <c r="H68" s="1657" t="s">
        <v>592</v>
      </c>
      <c r="I68" s="1657" t="s">
        <v>592</v>
      </c>
      <c r="J68" s="2506" t="s">
        <v>592</v>
      </c>
      <c r="K68" s="2506" t="s">
        <v>592</v>
      </c>
      <c r="L68" s="2506" t="s">
        <v>592</v>
      </c>
      <c r="M68" s="2506" t="s">
        <v>592</v>
      </c>
      <c r="N68" s="297" t="str">
        <f>FHD_NOTE_P_32</f>
        <v/>
      </c>
      <c r="O68" s="1644" t="str">
        <f>IF((LEN(E68)-LEN(SUBSTITUTE(E68,".","")))/LEN(".")=1,"p","")</f>
        <v/>
      </c>
      <c r="P68" s="1644">
        <f>_xlfn.IFERROR(MATCH("есть",B_FHD_FLAG_INDEX_2,0),0)</f>
        <v>0</v>
      </c>
      <c r="Q68" s="1644"/>
      <c r="V68" s="1644"/>
      <c r="Y68" s="552"/>
      <c r="AE68" s="1640"/>
      <c r="AF68" s="1640"/>
      <c r="AG68" s="1640"/>
      <c r="AH68" s="1640"/>
      <c r="AI68" s="1640"/>
      <c r="AJ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569</v>
      </c>
      <c r="H69" s="587">
        <f>SUM(H70:H71)</f>
        <v>0</v>
      </c>
      <c r="I69" s="587">
        <f>SUM(I70:I71)</f>
        <v>0</v>
      </c>
      <c r="J69" s="587">
        <f>SUM(J70:J71)</f>
        <v>0</v>
      </c>
      <c r="K69" s="587">
        <f>SUM(K70:K71)</f>
        <v>0</v>
      </c>
      <c r="L69" s="587">
        <f>SUM(L70:L71)</f>
        <v>0</v>
      </c>
      <c r="M69" s="587">
        <f>SUM(M70:M71)</f>
        <v>0</v>
      </c>
      <c r="N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69" s="1644" t="str">
        <f>IF((LEN(E69)-LEN(SUBSTITUTE(E69,".","")))/LEN(".")=1,"p","")</f>
        <v>p</v>
      </c>
      <c r="P69" s="1644"/>
      <c r="Q69" s="1644"/>
      <c r="V69" s="1644"/>
      <c r="Y69" s="552"/>
      <c r="AE69" s="1640"/>
      <c r="AF69" s="1640"/>
      <c r="AG69" s="1640"/>
      <c r="AH69" s="1640"/>
      <c r="AI69" s="1640"/>
      <c r="AJ69" s="1168">
        <v>11</v>
      </c>
    </row>
    <row s="1650" customFormat="1" customHeight="1" ht="1.05">
      <c r="A70" s="1175"/>
      <c r="D70" s="556"/>
      <c r="E70" s="1021" t="str">
        <f>E69&amp;".0"</f>
        <v>2.13.0</v>
      </c>
      <c r="F70" s="999"/>
      <c r="G70" s="1021"/>
      <c r="H70" s="1000"/>
      <c r="I70" s="1000"/>
      <c r="J70" s="1000"/>
      <c r="K70" s="1000"/>
      <c r="L70" s="1000"/>
      <c r="M70" s="1000"/>
      <c r="N70" s="1001"/>
      <c r="O70" s="1644" t="str">
        <f>IF((LEN(E70)-LEN(SUBSTITUTE(E70,".","")))/LEN(".")=1,"p","")</f>
        <v/>
      </c>
      <c r="AJ70" s="1644">
        <v>1</v>
      </c>
    </row>
    <row s="1374" customFormat="1" customHeight="1" ht="14.699999999999998">
      <c r="A71" s="995"/>
      <c r="C71" s="1644"/>
      <c r="D71" s="1641"/>
      <c r="E71" s="578"/>
      <c r="F71" s="579" t="s">
        <v>594</v>
      </c>
      <c r="G71" s="580"/>
      <c r="H71" s="581"/>
      <c r="I71" s="581"/>
      <c r="J71" s="2663"/>
      <c r="K71" s="2664"/>
      <c r="L71" s="2665"/>
      <c r="M71" s="2666"/>
      <c r="N71" s="309"/>
      <c r="O71" s="1644"/>
      <c r="P71" s="1644"/>
      <c r="Q71" s="1644"/>
      <c r="V71" s="1644"/>
      <c r="Y71" s="552"/>
      <c r="AE71" s="1640"/>
      <c r="AF71" s="1640"/>
      <c r="AG71" s="1640"/>
      <c r="AH71" s="1640"/>
      <c r="AI71" s="1640"/>
      <c r="AJ71" s="1168">
        <v>14</v>
      </c>
    </row>
    <row s="1374" customFormat="1" customHeight="1" ht="18.75">
      <c r="A72" s="997" t="s">
        <v>595</v>
      </c>
      <c r="C72" s="1644"/>
      <c r="D72" s="1646"/>
      <c r="E72" s="554" t="str">
        <f>FHD_NUM_P_34</f>
        <v>3</v>
      </c>
      <c r="F72" s="1885" t="str">
        <f>FHD_P_34</f>
        <v>Валовая прибыль (убытки) от реализации товаров и оказания услуг по регулируемому виду деятельности</v>
      </c>
      <c r="G72" s="1883" t="s">
        <v>569</v>
      </c>
      <c r="H72" s="565"/>
      <c r="I72" s="565"/>
      <c r="J72" s="565"/>
      <c r="K72" s="565"/>
      <c r="L72" s="565"/>
      <c r="M72" s="565"/>
      <c r="N72" s="297" t="str">
        <f>FHD_NOTE_P_34</f>
        <v/>
      </c>
      <c r="O72" s="551"/>
      <c r="P72" s="1644"/>
      <c r="Q72" s="1644"/>
      <c r="V72" s="1644"/>
      <c r="Y72" s="552"/>
      <c r="AE72" s="1640"/>
      <c r="AF72" s="1640"/>
      <c r="AG72" s="1640"/>
      <c r="AH72" s="1640"/>
      <c r="AI72" s="1640"/>
      <c r="AJ72" s="1168">
        <v>0</v>
      </c>
    </row>
    <row s="1374" customFormat="1" customHeight="1" ht="19.95">
      <c r="A73" s="995"/>
      <c r="C73" s="1644"/>
      <c r="D73" s="583"/>
      <c r="E73" s="554" t="str">
        <f>FHD_NUM_P_35</f>
        <v>4</v>
      </c>
      <c r="F73" s="1885" t="str">
        <f>FHD_P_35</f>
        <v>Чистая прибыль, полученная от регулируемого вида деятельности, в том числе:</v>
      </c>
      <c r="G73" s="1883" t="s">
        <v>569</v>
      </c>
      <c r="H73" s="565"/>
      <c r="I73" s="565"/>
      <c r="J73" s="565"/>
      <c r="K73" s="565"/>
      <c r="L73" s="565"/>
      <c r="M73" s="565"/>
      <c r="N73" s="297" t="str">
        <f>FHD_NOTE_P_35</f>
        <v>Указывается общая сумма чистой прибыли, полученной от регулируемого вида деятельности.</v>
      </c>
      <c r="O73" s="551"/>
      <c r="P73" s="1644"/>
      <c r="Q73" s="1644"/>
      <c r="V73" s="1644"/>
      <c r="Y73" s="552"/>
      <c r="AE73" s="1640"/>
      <c r="AF73" s="1640"/>
      <c r="AG73" s="1640"/>
      <c r="AH73" s="1640"/>
      <c r="AI73" s="1640"/>
      <c r="AJ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569</v>
      </c>
      <c r="H74" s="565"/>
      <c r="I74" s="565"/>
      <c r="J74" s="565"/>
      <c r="K74" s="565"/>
      <c r="L74" s="565"/>
      <c r="M74" s="565"/>
      <c r="N74" s="297" t="str">
        <f>FHD_NOTE_P_36</f>
        <v/>
      </c>
      <c r="O74" s="551"/>
      <c r="P74" s="1644"/>
      <c r="Q74" s="1644"/>
      <c r="V74" s="1644"/>
      <c r="Y74" s="552"/>
      <c r="AE74" s="1640"/>
      <c r="AF74" s="1640"/>
      <c r="AG74" s="1640"/>
      <c r="AH74" s="1640"/>
      <c r="AI74" s="1640"/>
      <c r="AJ74" s="1168">
        <v>19</v>
      </c>
    </row>
    <row s="1374" customFormat="1" customHeight="1" ht="19.95">
      <c r="A75" s="995"/>
      <c r="C75" s="1644"/>
      <c r="D75" s="1646"/>
      <c r="E75" s="554" t="str">
        <f>FHD_NUM_P_37</f>
        <v>5</v>
      </c>
      <c r="F75" s="1885" t="str">
        <f>FHD_P_37</f>
        <v>Изменение стоимости основных фондов, в том числе:</v>
      </c>
      <c r="G75" s="1883" t="s">
        <v>569</v>
      </c>
      <c r="H75" s="565"/>
      <c r="I75" s="565"/>
      <c r="J75" s="565"/>
      <c r="K75" s="565"/>
      <c r="L75" s="565"/>
      <c r="M75" s="565"/>
      <c r="N75" s="297" t="str">
        <f>FHD_NOTE_P_37</f>
        <v>Указывается общее изменение стоимости основных фондов.</v>
      </c>
      <c r="O75" s="551"/>
      <c r="P75" s="1644"/>
      <c r="Q75" s="1644"/>
      <c r="V75" s="1644"/>
      <c r="Y75" s="552"/>
      <c r="AE75" s="1640"/>
      <c r="AF75" s="1640"/>
      <c r="AG75" s="1640"/>
      <c r="AH75" s="1640"/>
      <c r="AI75" s="1640"/>
      <c r="AJ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3" t="s">
        <v>569</v>
      </c>
      <c r="H76" s="565"/>
      <c r="I76" s="565"/>
      <c r="J76" s="565"/>
      <c r="K76" s="565"/>
      <c r="L76" s="565"/>
      <c r="M76" s="565"/>
      <c r="N76" s="297" t="str">
        <f>FHD_NOTE_P_38</f>
        <v>Указываются общее изменение стоимости основных фондов за счет их ввода в эксплуатацию и вывода из эксплуатации.</v>
      </c>
      <c r="O76" s="551"/>
      <c r="P76" s="1644"/>
      <c r="Q76" s="1644"/>
      <c r="V76" s="1644"/>
      <c r="Y76" s="552"/>
      <c r="AE76" s="1640"/>
      <c r="AF76" s="1640"/>
      <c r="AG76" s="1640"/>
      <c r="AH76" s="1640"/>
      <c r="AI76" s="1640"/>
      <c r="AJ76" s="1168">
        <v>19</v>
      </c>
    </row>
    <row s="1374" customFormat="1" customHeight="1" ht="19.95">
      <c r="A77" s="995"/>
      <c r="C77" s="1644"/>
      <c r="D77" s="1646"/>
      <c r="E77" s="554" t="str">
        <f>FHD_NUM_P_39</f>
        <v>5.1.1</v>
      </c>
      <c r="F77" s="1658" t="str">
        <f>FHD_P_39</f>
        <v>за счет их ввода в эксплуатацию</v>
      </c>
      <c r="G77" s="2077" t="s">
        <v>569</v>
      </c>
      <c r="H77" s="565"/>
      <c r="I77" s="565"/>
      <c r="J77" s="565"/>
      <c r="K77" s="565"/>
      <c r="L77" s="565"/>
      <c r="M77" s="565"/>
      <c r="N77" s="297" t="str">
        <f>FHD_NOTE_P_39</f>
        <v>Указываются изменение стоимости основных фондов за счет их ввода в эксплуатацию.</v>
      </c>
      <c r="O77" s="551"/>
      <c r="P77" s="1644"/>
      <c r="Q77" s="1644"/>
      <c r="V77" s="1644"/>
      <c r="Y77" s="552"/>
      <c r="AE77" s="1640"/>
      <c r="AF77" s="1640"/>
      <c r="AG77" s="1640"/>
      <c r="AH77" s="1640"/>
      <c r="AI77" s="1640"/>
      <c r="AJ77" s="1168">
        <v>19</v>
      </c>
    </row>
    <row s="1374" customFormat="1" customHeight="1" ht="19.95">
      <c r="A78" s="995"/>
      <c r="C78" s="1644"/>
      <c r="D78" s="1646"/>
      <c r="E78" s="554" t="str">
        <f>FHD_NUM_P_40</f>
        <v>5.1.2</v>
      </c>
      <c r="F78" s="2081" t="str">
        <f>FHD_P_40</f>
        <v>за счет их вывода в эксплуатацию</v>
      </c>
      <c r="G78" s="2076" t="s">
        <v>569</v>
      </c>
      <c r="H78" s="984"/>
      <c r="I78" s="565"/>
      <c r="J78" s="984"/>
      <c r="K78" s="984"/>
      <c r="L78" s="984"/>
      <c r="M78" s="984"/>
      <c r="N78" s="297" t="str">
        <f>FHD_NOTE_P_40</f>
        <v>Указываются изменение стоимости основных фондов за счет их вывода из эксплуатации.</v>
      </c>
      <c r="O78" s="551"/>
      <c r="P78" s="1644"/>
      <c r="Q78" s="1644"/>
      <c r="V78" s="1644"/>
      <c r="Y78" s="552"/>
      <c r="AE78" s="1640"/>
      <c r="AF78" s="1640"/>
      <c r="AG78" s="1640"/>
      <c r="AH78" s="1640"/>
      <c r="AI78" s="1640"/>
      <c r="AJ78" s="1168">
        <v>19</v>
      </c>
    </row>
    <row s="1374" customFormat="1" customHeight="1" ht="19.95">
      <c r="A79" s="995"/>
      <c r="C79" s="1644"/>
      <c r="D79" s="1646"/>
      <c r="E79" s="554" t="str">
        <f>FHD_NUM_P_41</f>
        <v>5.2</v>
      </c>
      <c r="F79" s="2080" t="str">
        <f>FHD_P_41</f>
        <v>за счет их переоценки</v>
      </c>
      <c r="G79" s="2076" t="s">
        <v>569</v>
      </c>
      <c r="H79" s="984"/>
      <c r="I79" s="565"/>
      <c r="J79" s="984"/>
      <c r="K79" s="984"/>
      <c r="L79" s="984"/>
      <c r="M79" s="984"/>
      <c r="N79" s="297" t="str">
        <f>FHD_NOTE_P_41</f>
        <v/>
      </c>
      <c r="O79" s="551"/>
      <c r="P79" s="1644"/>
      <c r="Q79" s="1644"/>
      <c r="V79" s="1644"/>
      <c r="Y79" s="552"/>
      <c r="AE79" s="1640"/>
      <c r="AF79" s="1640"/>
      <c r="AG79" s="1640"/>
      <c r="AH79" s="1640"/>
      <c r="AI79" s="1640"/>
      <c r="AJ79" s="1168">
        <v>19</v>
      </c>
    </row>
    <row s="1374" customFormat="1" customHeight="1" ht="20.25" hidden="1">
      <c r="A80" s="997" t="s">
        <v>596</v>
      </c>
      <c r="C80" s="1644" t="s">
        <v>22</v>
      </c>
      <c r="D80" s="1646"/>
      <c r="E80" s="554" t="str">
        <f>FHD_NUM_P_42</f>
        <v/>
      </c>
      <c r="F80" s="2078" t="str">
        <f>FHD_P_42</f>
        <v/>
      </c>
      <c r="G80" s="2076" t="s">
        <v>569</v>
      </c>
      <c r="H80" s="984"/>
      <c r="I80" s="565"/>
      <c r="J80" s="984"/>
      <c r="K80" s="984"/>
      <c r="L80" s="984"/>
      <c r="M80" s="984"/>
      <c r="N80" s="297" t="str">
        <f>FHD_NOTE_P_42</f>
        <v/>
      </c>
      <c r="O80" s="551"/>
      <c r="P80" s="1644"/>
      <c r="Q80" s="1644"/>
      <c r="V80" s="1644"/>
      <c r="Y80" s="552"/>
      <c r="AE80" s="1640"/>
      <c r="AF80" s="1640"/>
      <c r="AG80" s="1640"/>
      <c r="AH80" s="1640"/>
      <c r="AI80" s="1640"/>
      <c r="AJ80" s="1168">
        <v>19</v>
      </c>
    </row>
    <row s="1374" customFormat="1" customHeight="1" ht="20.25" hidden="1">
      <c r="A81" s="995"/>
      <c r="C81" s="1644" t="s">
        <v>597</v>
      </c>
      <c r="D81" s="1646"/>
      <c r="E81" s="554" t="str">
        <f>FHD_NUM_P_43</f>
        <v>6</v>
      </c>
      <c r="F81" s="1885" t="str">
        <f>FHD_P_43</f>
        <v>Годовая бухгалтерская (финансовая) отчетность, включая бухгалтерский баланс и приложения к нему</v>
      </c>
      <c r="G81" s="2079" t="s">
        <v>323</v>
      </c>
      <c r="H81" s="1063"/>
      <c r="I81" s="826"/>
      <c r="J81" s="1063"/>
      <c r="K81" s="1063"/>
      <c r="L81" s="1063"/>
      <c r="M81" s="1063"/>
      <c r="N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1" s="551"/>
      <c r="P81" s="1644"/>
      <c r="Q81" s="1644"/>
      <c r="V81" s="1644"/>
      <c r="Y81" s="552"/>
      <c r="AE81" s="1640"/>
      <c r="AF81" s="1640"/>
      <c r="AG81" s="1640"/>
      <c r="AH81" s="1640"/>
      <c r="AI81" s="1640"/>
      <c r="AJ81" s="1168">
        <v>19</v>
      </c>
    </row>
    <row s="1374" customFormat="1" customHeight="1" ht="18.75" hidden="1">
      <c r="A82" s="2392" t="s">
        <v>598</v>
      </c>
      <c r="C82" s="743"/>
      <c r="D82" s="741"/>
      <c r="E82" s="554" t="str">
        <f>FHD_NUM_P_44</f>
        <v/>
      </c>
      <c r="F82" s="1885" t="str">
        <f>FHD_P_44</f>
        <v/>
      </c>
      <c r="G82" s="1886" t="s">
        <v>599</v>
      </c>
      <c r="H82" s="985"/>
      <c r="I82" s="585"/>
      <c r="J82" s="985"/>
      <c r="K82" s="985"/>
      <c r="L82" s="985"/>
      <c r="M82" s="985"/>
      <c r="N82" s="297" t="str">
        <f>FHD_NOTE_P_44</f>
        <v/>
      </c>
      <c r="O82" s="742"/>
      <c r="P82" s="743"/>
      <c r="Q82" s="743"/>
      <c r="V82" s="743"/>
      <c r="Y82" s="744"/>
      <c r="AE82" s="745"/>
      <c r="AF82" s="745"/>
      <c r="AG82" s="745"/>
      <c r="AH82" s="745"/>
      <c r="AI82" s="745"/>
      <c r="AJ82" s="918">
        <v>0</v>
      </c>
    </row>
    <row s="1374" customFormat="1" customHeight="1" ht="18.75" hidden="1">
      <c r="A83" s="2392"/>
      <c r="C83" s="743"/>
      <c r="D83" s="741"/>
      <c r="E83" s="554" t="str">
        <f>FHD_NUM_P_45</f>
        <v/>
      </c>
      <c r="F83" s="1885" t="str">
        <f>FHD_P_45</f>
        <v/>
      </c>
      <c r="G83" s="1886" t="s">
        <v>599</v>
      </c>
      <c r="H83" s="985"/>
      <c r="I83" s="585"/>
      <c r="J83" s="985"/>
      <c r="K83" s="985"/>
      <c r="L83" s="985"/>
      <c r="M83" s="985"/>
      <c r="N83" s="297" t="str">
        <f>FHD_NOTE_P_45</f>
        <v/>
      </c>
      <c r="O83" s="742"/>
      <c r="P83" s="743"/>
      <c r="Q83" s="743"/>
      <c r="V83" s="743"/>
      <c r="Y83" s="744"/>
      <c r="AE83" s="745"/>
      <c r="AF83" s="745"/>
      <c r="AG83" s="745"/>
      <c r="AH83" s="745"/>
      <c r="AI83" s="745"/>
      <c r="AJ83" s="918">
        <v>0</v>
      </c>
    </row>
    <row s="1374" customFormat="1" customHeight="1" ht="18.75" hidden="1">
      <c r="A84" s="2392"/>
      <c r="C84" s="743"/>
      <c r="D84" s="746"/>
      <c r="E84" s="554" t="str">
        <f>FHD_NUM_P_46</f>
        <v/>
      </c>
      <c r="F84" s="1885" t="str">
        <f>FHD_P_46</f>
        <v/>
      </c>
      <c r="G84" s="1886" t="s">
        <v>599</v>
      </c>
      <c r="H84" s="985"/>
      <c r="I84" s="585"/>
      <c r="J84" s="985"/>
      <c r="K84" s="985"/>
      <c r="L84" s="985"/>
      <c r="M84" s="985"/>
      <c r="N84" s="297" t="str">
        <f>FHD_NOTE_P_46</f>
        <v/>
      </c>
      <c r="O84" s="742"/>
      <c r="P84" s="743"/>
      <c r="Q84" s="743"/>
      <c r="V84" s="743"/>
      <c r="Y84" s="744"/>
      <c r="AE84" s="745"/>
      <c r="AF84" s="745"/>
      <c r="AG84" s="745"/>
      <c r="AH84" s="745"/>
      <c r="AI84" s="745"/>
      <c r="AJ84" s="918">
        <v>0</v>
      </c>
    </row>
    <row s="1374" customFormat="1" customHeight="1" ht="18.75" hidden="1">
      <c r="A85" s="2392"/>
      <c r="C85" s="743"/>
      <c r="D85" s="741"/>
      <c r="E85" s="554" t="str">
        <f>FHD_NUM_P_47</f>
        <v/>
      </c>
      <c r="F85" s="1885" t="str">
        <f>FHD_P_47</f>
        <v/>
      </c>
      <c r="G85" s="1886" t="s">
        <v>599</v>
      </c>
      <c r="H85" s="985"/>
      <c r="I85" s="585"/>
      <c r="J85" s="985"/>
      <c r="K85" s="985"/>
      <c r="L85" s="985"/>
      <c r="M85" s="985"/>
      <c r="N85" s="297" t="str">
        <f>FHD_NOTE_P_47</f>
        <v/>
      </c>
      <c r="O85" s="742"/>
      <c r="P85" s="743"/>
      <c r="Q85" s="743"/>
      <c r="V85" s="743"/>
      <c r="Y85" s="744"/>
      <c r="AE85" s="745"/>
      <c r="AF85" s="745"/>
      <c r="AG85" s="745"/>
      <c r="AH85" s="745"/>
      <c r="AI85" s="745"/>
      <c r="AJ85" s="918">
        <v>0</v>
      </c>
    </row>
    <row s="1643" customFormat="1" customHeight="1" ht="18.75" hidden="1">
      <c r="A86" s="2392"/>
      <c r="B86" s="918"/>
      <c r="C86" s="743"/>
      <c r="D86" s="741"/>
      <c r="E86" s="554" t="str">
        <f>FHD_NUM_P_48</f>
        <v/>
      </c>
      <c r="F86" s="1885" t="str">
        <f>FHD_P_48</f>
        <v/>
      </c>
      <c r="G86" s="1886" t="s">
        <v>599</v>
      </c>
      <c r="H86" s="985"/>
      <c r="I86" s="585"/>
      <c r="J86" s="985"/>
      <c r="K86" s="985"/>
      <c r="L86" s="985"/>
      <c r="M86" s="985"/>
      <c r="N86" s="297" t="str">
        <f>FHD_NOTE_P_48</f>
        <v/>
      </c>
      <c r="O86" s="742"/>
      <c r="P86" s="743"/>
      <c r="Q86" s="743"/>
      <c r="R86" s="918"/>
      <c r="S86" s="918"/>
      <c r="T86" s="918"/>
      <c r="U86" s="918"/>
      <c r="V86" s="743"/>
      <c r="W86" s="918"/>
      <c r="X86" s="918"/>
      <c r="Y86" s="744"/>
      <c r="Z86" s="918"/>
      <c r="AA86" s="918"/>
      <c r="AB86" s="918"/>
      <c r="AC86" s="918"/>
      <c r="AD86" s="918"/>
      <c r="AE86" s="745"/>
      <c r="AF86" s="745"/>
      <c r="AG86" s="745"/>
      <c r="AH86" s="745"/>
      <c r="AI86" s="745"/>
      <c r="AJ86" s="747">
        <v>0</v>
      </c>
    </row>
    <row s="1643" customFormat="1" customHeight="1" ht="18.75" hidden="1">
      <c r="A87" s="2392"/>
      <c r="B87" s="918"/>
      <c r="C87" s="743"/>
      <c r="D87" s="741"/>
      <c r="E87" s="554" t="str">
        <f>FHD_NUM_P_49</f>
        <v/>
      </c>
      <c r="F87" s="1885" t="str">
        <f>FHD_P_49</f>
        <v/>
      </c>
      <c r="G87" s="1886" t="s">
        <v>599</v>
      </c>
      <c r="H87" s="986">
        <f>SUM(H88:H89)</f>
        <v>0</v>
      </c>
      <c r="I87" s="757">
        <f>SUM(I88:I89)</f>
        <v>0</v>
      </c>
      <c r="J87" s="986">
        <f>SUM(J88:J89)</f>
        <v>0</v>
      </c>
      <c r="K87" s="986">
        <f>SUM(K88:K89)</f>
        <v>0</v>
      </c>
      <c r="L87" s="986">
        <f>SUM(L88:L89)</f>
        <v>0</v>
      </c>
      <c r="M87" s="986">
        <f>SUM(M88:M89)</f>
        <v>0</v>
      </c>
      <c r="N87" s="297" t="str">
        <f>FHD_NOTE_P_49</f>
        <v/>
      </c>
      <c r="O87" s="742"/>
      <c r="P87" s="743"/>
      <c r="Q87" s="743"/>
      <c r="R87" s="918"/>
      <c r="S87" s="918"/>
      <c r="T87" s="918"/>
      <c r="U87" s="918"/>
      <c r="V87" s="743"/>
      <c r="W87" s="918"/>
      <c r="X87" s="918"/>
      <c r="Y87" s="744"/>
      <c r="Z87" s="918"/>
      <c r="AA87" s="918"/>
      <c r="AB87" s="918"/>
      <c r="AC87" s="918"/>
      <c r="AD87" s="918"/>
      <c r="AE87" s="745"/>
      <c r="AF87" s="745"/>
      <c r="AG87" s="745"/>
      <c r="AH87" s="745"/>
      <c r="AI87" s="745"/>
      <c r="AJ87" s="747">
        <v>0</v>
      </c>
    </row>
    <row s="1643" customFormat="1" customHeight="1" ht="18.75" hidden="1">
      <c r="A88" s="2392"/>
      <c r="B88" s="918"/>
      <c r="C88" s="743"/>
      <c r="D88" s="741"/>
      <c r="E88" s="554" t="str">
        <f>FHD_NUM_P_50</f>
        <v/>
      </c>
      <c r="F88" s="1885" t="str">
        <f>FHD_P_50</f>
        <v/>
      </c>
      <c r="G88" s="1886" t="s">
        <v>599</v>
      </c>
      <c r="H88" s="985"/>
      <c r="I88" s="585"/>
      <c r="J88" s="985"/>
      <c r="K88" s="985"/>
      <c r="L88" s="985"/>
      <c r="M88" s="985"/>
      <c r="N88" s="297" t="str">
        <f>FHD_NOTE_P_50</f>
        <v/>
      </c>
      <c r="O88" s="742"/>
      <c r="P88" s="743"/>
      <c r="Q88" s="743"/>
      <c r="R88" s="918"/>
      <c r="S88" s="918"/>
      <c r="T88" s="918"/>
      <c r="U88" s="918"/>
      <c r="V88" s="743"/>
      <c r="W88" s="918"/>
      <c r="X88" s="918"/>
      <c r="Y88" s="744"/>
      <c r="Z88" s="918"/>
      <c r="AA88" s="918"/>
      <c r="AB88" s="918"/>
      <c r="AC88" s="918"/>
      <c r="AD88" s="918"/>
      <c r="AE88" s="745"/>
      <c r="AF88" s="745"/>
      <c r="AG88" s="745"/>
      <c r="AH88" s="745"/>
      <c r="AI88" s="745"/>
      <c r="AJ88" s="747">
        <v>0</v>
      </c>
    </row>
    <row s="1643" customFormat="1" customHeight="1" ht="18.75" hidden="1">
      <c r="A89" s="2392"/>
      <c r="B89" s="918"/>
      <c r="C89" s="743"/>
      <c r="D89" s="741"/>
      <c r="E89" s="554" t="str">
        <f>FHD_NUM_P_51</f>
        <v/>
      </c>
      <c r="F89" s="1885" t="str">
        <f>FHD_P_51</f>
        <v/>
      </c>
      <c r="G89" s="1886" t="s">
        <v>599</v>
      </c>
      <c r="H89" s="985"/>
      <c r="I89" s="585"/>
      <c r="J89" s="985"/>
      <c r="K89" s="985"/>
      <c r="L89" s="985"/>
      <c r="M89" s="985"/>
      <c r="N89" s="297" t="str">
        <f>FHD_NOTE_P_51</f>
        <v/>
      </c>
      <c r="O89" s="742"/>
      <c r="P89" s="743"/>
      <c r="Q89" s="743"/>
      <c r="R89" s="918"/>
      <c r="S89" s="918"/>
      <c r="T89" s="918"/>
      <c r="U89" s="918"/>
      <c r="V89" s="743"/>
      <c r="W89" s="918"/>
      <c r="X89" s="918"/>
      <c r="Y89" s="744"/>
      <c r="Z89" s="918"/>
      <c r="AA89" s="918"/>
      <c r="AB89" s="918"/>
      <c r="AC89" s="918"/>
      <c r="AD89" s="918"/>
      <c r="AE89" s="745"/>
      <c r="AF89" s="745"/>
      <c r="AG89" s="745"/>
      <c r="AH89" s="745"/>
      <c r="AI89" s="745"/>
      <c r="AJ89" s="747">
        <v>0</v>
      </c>
    </row>
    <row s="1643" customFormat="1" customHeight="1" ht="18.75" hidden="1">
      <c r="A90" s="2392"/>
      <c r="B90" s="918"/>
      <c r="C90" s="743"/>
      <c r="D90" s="741"/>
      <c r="E90" s="554" t="str">
        <f>FHD_NUM_P_52</f>
        <v/>
      </c>
      <c r="F90" s="1885" t="str">
        <f>FHD_P_52</f>
        <v/>
      </c>
      <c r="G90" s="1886" t="s">
        <v>575</v>
      </c>
      <c r="H90" s="984"/>
      <c r="I90" s="565"/>
      <c r="J90" s="984"/>
      <c r="K90" s="984"/>
      <c r="L90" s="984"/>
      <c r="M90" s="984"/>
      <c r="N90" s="297" t="str">
        <f>FHD_NOTE_P_52</f>
        <v/>
      </c>
      <c r="O90" s="742"/>
      <c r="P90" s="743"/>
      <c r="Q90" s="743"/>
      <c r="R90" s="918"/>
      <c r="S90" s="918"/>
      <c r="T90" s="918"/>
      <c r="U90" s="918"/>
      <c r="V90" s="743"/>
      <c r="W90" s="918"/>
      <c r="X90" s="918"/>
      <c r="Y90" s="744"/>
      <c r="Z90" s="918"/>
      <c r="AA90" s="918"/>
      <c r="AB90" s="918"/>
      <c r="AC90" s="918"/>
      <c r="AD90" s="918"/>
      <c r="AE90" s="745"/>
      <c r="AF90" s="745"/>
      <c r="AG90" s="745"/>
      <c r="AH90" s="745"/>
      <c r="AI90" s="745"/>
      <c r="AJ90" s="747">
        <v>0</v>
      </c>
    </row>
    <row s="1374" customFormat="1" customHeight="1" ht="18.75" hidden="1">
      <c r="A91" s="2394" t="s">
        <v>600</v>
      </c>
      <c r="C91" s="743"/>
      <c r="D91" s="741"/>
      <c r="E91" s="554" t="str">
        <f>FHD_NUM_P_53</f>
        <v/>
      </c>
      <c r="F91" s="1885" t="str">
        <f>FHD_P_53</f>
        <v/>
      </c>
      <c r="G91" s="1886" t="s">
        <v>599</v>
      </c>
      <c r="H91" s="985"/>
      <c r="I91" s="585"/>
      <c r="J91" s="985"/>
      <c r="K91" s="985"/>
      <c r="L91" s="985"/>
      <c r="M91" s="985"/>
      <c r="N91" s="297" t="str">
        <f>FHD_NOTE_P_53</f>
        <v/>
      </c>
      <c r="O91" s="742"/>
      <c r="P91" s="743"/>
      <c r="Q91" s="743"/>
      <c r="V91" s="743"/>
      <c r="Y91" s="744"/>
      <c r="AE91" s="745"/>
      <c r="AF91" s="745"/>
      <c r="AG91" s="745"/>
      <c r="AH91" s="745"/>
      <c r="AI91" s="745"/>
      <c r="AJ91" s="918">
        <v>0</v>
      </c>
    </row>
    <row s="1374" customFormat="1" customHeight="1" ht="18.75" hidden="1">
      <c r="A92" s="2394"/>
      <c r="C92" s="743"/>
      <c r="D92" s="741"/>
      <c r="E92" s="554" t="str">
        <f>FHD_NUM_P_54</f>
        <v/>
      </c>
      <c r="F92" s="1885" t="str">
        <f>FHD_P_54</f>
        <v/>
      </c>
      <c r="G92" s="1886" t="s">
        <v>599</v>
      </c>
      <c r="H92" s="985"/>
      <c r="I92" s="585"/>
      <c r="J92" s="985"/>
      <c r="K92" s="985"/>
      <c r="L92" s="985"/>
      <c r="M92" s="985"/>
      <c r="N92" s="297" t="str">
        <f>FHD_NOTE_P_54</f>
        <v/>
      </c>
      <c r="O92" s="742"/>
      <c r="P92" s="743"/>
      <c r="Q92" s="743"/>
      <c r="V92" s="743"/>
      <c r="Y92" s="744"/>
      <c r="AE92" s="745"/>
      <c r="AF92" s="745"/>
      <c r="AG92" s="745"/>
      <c r="AH92" s="745"/>
      <c r="AI92" s="745"/>
      <c r="AJ92" s="918">
        <v>0</v>
      </c>
    </row>
    <row s="1374" customFormat="1" customHeight="1" ht="18.75" hidden="1">
      <c r="A93" s="2394"/>
      <c r="C93" s="743"/>
      <c r="D93" s="746"/>
      <c r="E93" s="554" t="str">
        <f>FHD_NUM_P_55</f>
        <v/>
      </c>
      <c r="F93" s="1885" t="str">
        <f>FHD_P_55</f>
        <v/>
      </c>
      <c r="G93" s="1889"/>
      <c r="H93" s="985"/>
      <c r="I93" s="585"/>
      <c r="J93" s="985"/>
      <c r="K93" s="985"/>
      <c r="L93" s="985"/>
      <c r="M93" s="985"/>
      <c r="N93" s="297" t="str">
        <f>FHD_NOTE_P_55</f>
        <v/>
      </c>
      <c r="O93" s="742"/>
      <c r="P93" s="743"/>
      <c r="Q93" s="743"/>
      <c r="V93" s="743"/>
      <c r="Y93" s="744"/>
      <c r="AE93" s="745"/>
      <c r="AF93" s="745"/>
      <c r="AG93" s="745"/>
      <c r="AH93" s="745"/>
      <c r="AI93" s="745"/>
      <c r="AJ93" s="918">
        <v>0</v>
      </c>
    </row>
    <row s="1374" customFormat="1" customHeight="1" ht="18.75" hidden="1">
      <c r="A94" s="2394"/>
      <c r="C94" s="743"/>
      <c r="D94" s="741"/>
      <c r="E94" s="554" t="str">
        <f>FHD_NUM_P_56</f>
        <v/>
      </c>
      <c r="F94" s="1885" t="str">
        <f>FHD_P_56</f>
        <v/>
      </c>
      <c r="G94" s="1886" t="s">
        <v>601</v>
      </c>
      <c r="H94" s="985"/>
      <c r="I94" s="585"/>
      <c r="J94" s="985"/>
      <c r="K94" s="985"/>
      <c r="L94" s="985"/>
      <c r="M94" s="985"/>
      <c r="N94" s="297" t="str">
        <f>FHD_NOTE_P_56</f>
        <v/>
      </c>
      <c r="O94" s="742"/>
      <c r="P94" s="743"/>
      <c r="Q94" s="743"/>
      <c r="V94" s="743"/>
      <c r="Y94" s="744"/>
      <c r="AE94" s="745"/>
      <c r="AF94" s="745"/>
      <c r="AG94" s="745"/>
      <c r="AH94" s="745"/>
      <c r="AI94" s="745"/>
      <c r="AJ94" s="918">
        <v>0</v>
      </c>
    </row>
    <row s="1643" customFormat="1" customHeight="1" ht="18.75" hidden="1">
      <c r="A95" s="2394"/>
      <c r="B95" s="918"/>
      <c r="C95" s="743"/>
      <c r="D95" s="741"/>
      <c r="E95" s="554" t="str">
        <f>FHD_NUM_P_57</f>
        <v/>
      </c>
      <c r="F95" s="1885" t="str">
        <f>FHD_P_57</f>
        <v/>
      </c>
      <c r="G95" s="1886" t="s">
        <v>575</v>
      </c>
      <c r="H95" s="984"/>
      <c r="I95" s="565"/>
      <c r="J95" s="984"/>
      <c r="K95" s="984"/>
      <c r="L95" s="984"/>
      <c r="M95" s="984"/>
      <c r="N95" s="297" t="str">
        <f>FHD_NOTE_P_57</f>
        <v/>
      </c>
      <c r="O95" s="742"/>
      <c r="P95" s="743"/>
      <c r="Q95" s="743"/>
      <c r="R95" s="918"/>
      <c r="S95" s="918"/>
      <c r="T95" s="918"/>
      <c r="U95" s="918"/>
      <c r="V95" s="743"/>
      <c r="W95" s="918"/>
      <c r="X95" s="918"/>
      <c r="Y95" s="744"/>
      <c r="Z95" s="918"/>
      <c r="AA95" s="918"/>
      <c r="AB95" s="918"/>
      <c r="AC95" s="918"/>
      <c r="AD95" s="918"/>
      <c r="AE95" s="745"/>
      <c r="AF95" s="745"/>
      <c r="AG95" s="745"/>
      <c r="AH95" s="745"/>
      <c r="AI95" s="745"/>
      <c r="AJ95" s="747">
        <v>0</v>
      </c>
    </row>
    <row customHeight="1" ht="18.75" hidden="1">
      <c r="A96" s="2392" t="s">
        <v>602</v>
      </c>
      <c r="D96" s="1646"/>
      <c r="E96" s="554" t="str">
        <f>FHD_NUM_P_58</f>
        <v/>
      </c>
      <c r="F96" s="1885" t="str">
        <f>FHD_P_58</f>
        <v/>
      </c>
      <c r="G96" s="1886" t="s">
        <v>599</v>
      </c>
      <c r="H96" s="985"/>
      <c r="I96" s="585"/>
      <c r="J96" s="985"/>
      <c r="K96" s="985"/>
      <c r="L96" s="985"/>
      <c r="M96" s="985"/>
      <c r="N96" s="297" t="str">
        <f>FHD_NOTE_P_58</f>
        <v/>
      </c>
      <c r="O96" s="551"/>
      <c r="AJ96" s="1639">
        <v>0</v>
      </c>
    </row>
    <row customHeight="1" ht="18.75" hidden="1">
      <c r="A97" s="2392"/>
      <c r="D97" s="1646"/>
      <c r="E97" s="554" t="str">
        <f>FHD_NUM_P_59</f>
        <v/>
      </c>
      <c r="F97" s="1885" t="str">
        <f>FHD_P_59</f>
        <v/>
      </c>
      <c r="G97" s="1886" t="s">
        <v>599</v>
      </c>
      <c r="H97" s="985"/>
      <c r="I97" s="585"/>
      <c r="J97" s="985"/>
      <c r="K97" s="985"/>
      <c r="L97" s="985"/>
      <c r="M97" s="985"/>
      <c r="N97" s="297" t="str">
        <f>FHD_NOTE_P_59</f>
        <v/>
      </c>
      <c r="O97" s="551"/>
      <c r="AJ97" s="1639">
        <v>0</v>
      </c>
    </row>
    <row customHeight="1" ht="18.75" hidden="1">
      <c r="A98" s="2392"/>
      <c r="D98" s="1646"/>
      <c r="E98" s="554" t="str">
        <f>FHD_NUM_P_60</f>
        <v/>
      </c>
      <c r="F98" s="1885" t="str">
        <f>FHD_P_60</f>
        <v/>
      </c>
      <c r="G98" s="1886" t="s">
        <v>599</v>
      </c>
      <c r="H98" s="985"/>
      <c r="I98" s="585"/>
      <c r="J98" s="985"/>
      <c r="K98" s="985"/>
      <c r="L98" s="985"/>
      <c r="M98" s="985"/>
      <c r="N98" s="297" t="str">
        <f>FHD_NOTE_P_60</f>
        <v/>
      </c>
      <c r="O98" s="551"/>
      <c r="AJ98" s="1639">
        <v>0</v>
      </c>
    </row>
    <row s="1374" customFormat="1" customHeight="1" ht="18.75" hidden="1">
      <c r="A99" s="2392" t="s">
        <v>603</v>
      </c>
      <c r="C99" s="1644"/>
      <c r="D99" s="1646"/>
      <c r="E99" s="554"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573</v>
      </c>
      <c r="H99" s="987"/>
      <c r="I99" s="750"/>
      <c r="J99" s="987"/>
      <c r="K99" s="987"/>
      <c r="L99" s="987"/>
      <c r="M99" s="987"/>
      <c r="N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99" s="551"/>
      <c r="P99" s="1644"/>
      <c r="Q99" s="1644"/>
      <c r="V99" s="1644"/>
      <c r="Y99" s="552"/>
      <c r="AE99" s="1640"/>
      <c r="AF99" s="1640"/>
      <c r="AG99" s="1640"/>
      <c r="AH99" s="1640"/>
      <c r="AI99" s="1640"/>
      <c r="AJ99" s="1168">
        <v>0</v>
      </c>
    </row>
    <row s="1650" customFormat="1" customHeight="1" ht="0.75" hidden="1">
      <c r="A100" s="2392"/>
      <c r="D100" s="556"/>
      <c r="E100" s="1021" t="str">
        <f>E99&amp;".0"</f>
        <v>7.0</v>
      </c>
      <c r="F100" s="1002"/>
      <c r="G100" s="1003"/>
      <c r="H100" s="1000"/>
      <c r="I100" s="1000"/>
      <c r="J100" s="1000"/>
      <c r="K100" s="1000"/>
      <c r="L100" s="1000"/>
      <c r="M100" s="1000"/>
      <c r="N100" s="1004"/>
      <c r="AJ100" s="1644">
        <v>0</v>
      </c>
    </row>
    <row customHeight="1" ht="15" hidden="1">
      <c r="A101" s="2392"/>
      <c r="D101" s="1641"/>
      <c r="E101" s="979"/>
      <c r="F101" s="980" t="s">
        <v>604</v>
      </c>
      <c r="G101" s="580"/>
      <c r="H101" s="581"/>
      <c r="I101" s="581"/>
      <c r="J101" s="2667"/>
      <c r="K101" s="2668"/>
      <c r="L101" s="2669"/>
      <c r="M101" s="2670"/>
      <c r="N101" s="1012" t="s">
        <v>605</v>
      </c>
      <c r="O101" s="551"/>
      <c r="AJ101" s="1639">
        <v>0</v>
      </c>
    </row>
    <row s="1374" customFormat="1" customHeight="1" ht="18.75" hidden="1">
      <c r="A102" s="2392"/>
      <c r="C102" s="1644"/>
      <c r="D102" s="1646"/>
      <c r="E102" s="554" t="str">
        <f>FHD_NUM_P_62</f>
        <v>8</v>
      </c>
      <c r="F102" s="1885" t="str">
        <f>FHD_P_62</f>
        <v>Тепловая нагрузка по договорам, заключенным в рамках осуществления регулируемых видов деятельности</v>
      </c>
      <c r="G102" s="1882" t="s">
        <v>573</v>
      </c>
      <c r="H102" s="565"/>
      <c r="I102" s="565"/>
      <c r="J102" s="565"/>
      <c r="K102" s="565"/>
      <c r="L102" s="565"/>
      <c r="M102" s="565"/>
      <c r="N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2" s="551"/>
      <c r="P102" s="1644"/>
      <c r="Q102" s="1644"/>
      <c r="V102" s="1644"/>
      <c r="Y102" s="552"/>
      <c r="AE102" s="1640"/>
      <c r="AF102" s="1640"/>
      <c r="AG102" s="1640"/>
      <c r="AH102" s="1640"/>
      <c r="AI102" s="1640"/>
      <c r="AJ102" s="1168">
        <v>0</v>
      </c>
    </row>
    <row s="1374" customFormat="1" customHeight="1" ht="18.75" hidden="1">
      <c r="A103" s="2392"/>
      <c r="C103" s="1644"/>
      <c r="D103" s="1646"/>
      <c r="E103" s="554"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601</v>
      </c>
      <c r="H103" s="585"/>
      <c r="I103" s="585"/>
      <c r="J103" s="585"/>
      <c r="K103" s="585"/>
      <c r="L103" s="585"/>
      <c r="M103" s="585"/>
      <c r="N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03" s="551"/>
      <c r="P103" s="1644"/>
      <c r="Q103" s="1644"/>
      <c r="V103" s="1644"/>
      <c r="Y103" s="552"/>
      <c r="AE103" s="1640"/>
      <c r="AF103" s="1640"/>
      <c r="AG103" s="1640"/>
      <c r="AH103" s="1640"/>
      <c r="AI103" s="1640"/>
      <c r="AJ103" s="1168">
        <v>0</v>
      </c>
    </row>
    <row s="1374" customFormat="1" customHeight="1" ht="18.75" hidden="1">
      <c r="A104" s="2392"/>
      <c r="C104" s="1644"/>
      <c r="D104" s="1646"/>
      <c r="E104" s="554"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601</v>
      </c>
      <c r="H104" s="1415"/>
      <c r="I104" s="759"/>
      <c r="J104" s="1415"/>
      <c r="K104" s="1415"/>
      <c r="L104" s="1415"/>
      <c r="M104" s="1415"/>
      <c r="N104" s="297" t="str">
        <f>FHD_NOTE_P_64</f>
        <v>Информация указывается только едиными теплоснабжающими организациями.</v>
      </c>
      <c r="O104" s="551"/>
      <c r="P104" s="1644"/>
      <c r="Q104" s="1644"/>
      <c r="V104" s="1644"/>
      <c r="Y104" s="552"/>
      <c r="AE104" s="1640"/>
      <c r="AF104" s="1640"/>
      <c r="AG104" s="1640"/>
      <c r="AH104" s="1640"/>
      <c r="AI104" s="1640"/>
      <c r="AJ104" s="1168">
        <v>0</v>
      </c>
    </row>
    <row s="1374" customFormat="1" customHeight="1" ht="18.75" hidden="1">
      <c r="A105" s="2392"/>
      <c r="C105" s="1644"/>
      <c r="D105" s="1646"/>
      <c r="E105" s="554"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601</v>
      </c>
      <c r="H105" s="585"/>
      <c r="I105" s="585"/>
      <c r="J105" s="585"/>
      <c r="K105" s="585"/>
      <c r="L105" s="585"/>
      <c r="M105" s="585"/>
      <c r="N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05" s="551"/>
      <c r="P105" s="1644"/>
      <c r="Q105" s="1644"/>
      <c r="V105" s="1644"/>
      <c r="Y105" s="552"/>
      <c r="AE105" s="1640"/>
      <c r="AF105" s="1640"/>
      <c r="AG105" s="1640"/>
      <c r="AH105" s="1640"/>
      <c r="AI105" s="1640"/>
      <c r="AJ105" s="1168">
        <v>0</v>
      </c>
    </row>
    <row s="1374" customFormat="1" customHeight="1" ht="18.75" hidden="1">
      <c r="A106" s="2392"/>
      <c r="C106" s="1644"/>
      <c r="D106" s="1646"/>
      <c r="E106" s="554" t="str">
        <f>FHD_NUM_P_66</f>
        <v>10.1</v>
      </c>
      <c r="F106" s="1532" t="str">
        <f>FHD_P_66</f>
        <v>По приборам учёта </v>
      </c>
      <c r="G106" s="1882" t="s">
        <v>601</v>
      </c>
      <c r="H106" s="585"/>
      <c r="I106" s="585"/>
      <c r="J106" s="585"/>
      <c r="K106" s="585"/>
      <c r="L106" s="585"/>
      <c r="M106" s="585"/>
      <c r="N106" s="297" t="str">
        <f>FHD_NOTE_P_66</f>
        <v/>
      </c>
      <c r="O106" s="551"/>
      <c r="P106" s="1644"/>
      <c r="Q106" s="1644"/>
      <c r="V106" s="1644"/>
      <c r="Y106" s="552"/>
      <c r="AE106" s="1640"/>
      <c r="AF106" s="1640"/>
      <c r="AG106" s="1640"/>
      <c r="AH106" s="1640"/>
      <c r="AI106" s="1640"/>
      <c r="AJ106" s="1168">
        <v>0</v>
      </c>
    </row>
    <row s="1374" customFormat="1" customHeight="1" ht="18.75" hidden="1">
      <c r="A107" s="2392"/>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601</v>
      </c>
      <c r="H107" s="585"/>
      <c r="I107" s="585"/>
      <c r="J107" s="585"/>
      <c r="K107" s="585"/>
      <c r="L107" s="585"/>
      <c r="M107" s="585"/>
      <c r="N107" s="297" t="str">
        <f>FHD_NOTE_P_67</f>
        <v/>
      </c>
      <c r="O107" s="551"/>
      <c r="P107" s="1644"/>
      <c r="Q107" s="1644"/>
      <c r="V107" s="1644"/>
      <c r="Y107" s="552"/>
      <c r="AE107" s="1640"/>
      <c r="AF107" s="1640"/>
      <c r="AG107" s="1640"/>
      <c r="AH107" s="1640"/>
      <c r="AI107" s="1640"/>
      <c r="AJ107" s="1168">
        <v>0</v>
      </c>
    </row>
    <row s="1374" customFormat="1" customHeight="1" ht="18.75" hidden="1">
      <c r="A108" s="2392"/>
      <c r="C108" s="1644"/>
      <c r="D108" s="1646"/>
      <c r="E108" s="554" t="str">
        <f>FHD_NUM_P_68</f>
        <v>10.2</v>
      </c>
      <c r="F108" s="1532" t="str">
        <f>FHD_P_68</f>
        <v>Расчётным путём</v>
      </c>
      <c r="G108" s="1882" t="s">
        <v>601</v>
      </c>
      <c r="H108" s="585"/>
      <c r="I108" s="585"/>
      <c r="J108" s="585"/>
      <c r="K108" s="585"/>
      <c r="L108" s="585"/>
      <c r="M108" s="585"/>
      <c r="N108" s="297" t="str">
        <f>FHD_NOTE_P_68</f>
        <v/>
      </c>
      <c r="O108" s="551"/>
      <c r="P108" s="1644"/>
      <c r="Q108" s="1644"/>
      <c r="V108" s="1644"/>
      <c r="Y108" s="552"/>
      <c r="AE108" s="1640"/>
      <c r="AF108" s="1640"/>
      <c r="AG108" s="1640"/>
      <c r="AH108" s="1640"/>
      <c r="AI108" s="1640"/>
      <c r="AJ108" s="1168">
        <v>0</v>
      </c>
    </row>
    <row s="1374" customFormat="1" customHeight="1" ht="18.75" hidden="1">
      <c r="A109" s="2392"/>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2" t="s">
        <v>601</v>
      </c>
      <c r="H109" s="585"/>
      <c r="I109" s="585"/>
      <c r="J109" s="585"/>
      <c r="K109" s="585"/>
      <c r="L109" s="585"/>
      <c r="M109" s="585"/>
      <c r="N109" s="297" t="str">
        <f>FHD_NOTE_P_69</f>
        <v/>
      </c>
      <c r="O109" s="551"/>
      <c r="P109" s="1644"/>
      <c r="Q109" s="1644"/>
      <c r="V109" s="1644"/>
      <c r="Y109" s="552"/>
      <c r="AE109" s="1640"/>
      <c r="AF109" s="1640"/>
      <c r="AG109" s="1640"/>
      <c r="AH109" s="1640"/>
      <c r="AI109" s="1640"/>
      <c r="AJ109" s="1168">
        <v>0</v>
      </c>
    </row>
    <row s="1374" customFormat="1" customHeight="1" ht="22.5" hidden="1">
      <c r="A110" s="2392"/>
      <c r="C110" s="1644"/>
      <c r="D110" s="1646"/>
      <c r="E110" s="554"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606</v>
      </c>
      <c r="H110" s="565"/>
      <c r="I110" s="565"/>
      <c r="J110" s="565"/>
      <c r="K110" s="565"/>
      <c r="L110" s="565"/>
      <c r="M110" s="565"/>
      <c r="N110" s="297" t="str">
        <f>FHD_NOTE_P_70</f>
        <v/>
      </c>
      <c r="O110" s="551"/>
      <c r="P110" s="1644"/>
      <c r="Q110" s="1644"/>
      <c r="V110" s="1644"/>
      <c r="Y110" s="552"/>
      <c r="AE110" s="1640"/>
      <c r="AF110" s="1640"/>
      <c r="AG110" s="1640"/>
      <c r="AH110" s="1640"/>
      <c r="AI110" s="1640"/>
      <c r="AJ110" s="1168">
        <v>0</v>
      </c>
    </row>
    <row s="1374" customFormat="1" customHeight="1" ht="22.5" hidden="1">
      <c r="A111" s="2392"/>
      <c r="C111" s="1644"/>
      <c r="D111" s="1646"/>
      <c r="E111" s="554" t="str">
        <f>FHD_NUM_P_71</f>
        <v>12</v>
      </c>
      <c r="F111" s="1885" t="str">
        <f>FHD_P_71</f>
        <v>Фактический объем потерь при передаче тепловой энергии</v>
      </c>
      <c r="G111" s="1882" t="s">
        <v>606</v>
      </c>
      <c r="H111" s="565"/>
      <c r="I111" s="565"/>
      <c r="J111" s="565"/>
      <c r="K111" s="565"/>
      <c r="L111" s="565"/>
      <c r="M111" s="565"/>
      <c r="N111" s="297" t="str">
        <f>FHD_NOTE_P_71</f>
        <v/>
      </c>
      <c r="O111" s="551"/>
      <c r="P111" s="1644"/>
      <c r="Q111" s="1644"/>
      <c r="V111" s="1644"/>
      <c r="Y111" s="552"/>
      <c r="AE111" s="1640"/>
      <c r="AF111" s="1640"/>
      <c r="AG111" s="1640"/>
      <c r="AH111" s="1640"/>
      <c r="AI111" s="1640"/>
      <c r="AJ111" s="1168">
        <v>0</v>
      </c>
    </row>
    <row customHeight="1" ht="20.25" hidden="1">
      <c r="D112" s="1646"/>
      <c r="E112" s="554" t="str">
        <f>FHD_NUM_P_72</f>
        <v>13</v>
      </c>
      <c r="F112" s="1885" t="str">
        <f>FHD_P_72</f>
        <v>Среднесписочная численность основного производственного персонала</v>
      </c>
      <c r="G112" s="1881" t="s">
        <v>607</v>
      </c>
      <c r="H112" s="585"/>
      <c r="I112" s="585"/>
      <c r="J112" s="585"/>
      <c r="K112" s="585"/>
      <c r="L112" s="585"/>
      <c r="M112" s="585"/>
      <c r="N112" s="297" t="str">
        <f>FHD_NOTE_P_72</f>
        <v/>
      </c>
      <c r="O112" s="551"/>
      <c r="AJ112" s="1639">
        <v>19</v>
      </c>
    </row>
    <row customHeight="1" ht="18.75" hidden="1">
      <c r="A113" s="997" t="s">
        <v>608</v>
      </c>
      <c r="D113" s="1646"/>
      <c r="E113" s="554" t="str">
        <f>FHD_NUM_P_73</f>
        <v>14</v>
      </c>
      <c r="F113" s="1885" t="str">
        <f>FHD_P_73</f>
        <v>Среднесписочная численность административно-управленческого персонала</v>
      </c>
      <c r="G113" s="978" t="s">
        <v>607</v>
      </c>
      <c r="H113" s="976"/>
      <c r="I113" s="976"/>
      <c r="J113" s="976"/>
      <c r="K113" s="976"/>
      <c r="L113" s="976"/>
      <c r="M113" s="976"/>
      <c r="N113" s="297" t="str">
        <f>FHD_NOTE_P_73</f>
        <v/>
      </c>
      <c r="O113" s="551"/>
      <c r="AJ113" s="1639">
        <v>0</v>
      </c>
    </row>
    <row customHeight="1" ht="33.75" hidden="1">
      <c r="A114" s="997" t="s">
        <v>609</v>
      </c>
      <c r="D114" s="1646"/>
      <c r="E114" s="554" t="str">
        <f>FHD_NUM_P_74</f>
        <v/>
      </c>
      <c r="F114" s="1885" t="str">
        <f>FHD_P_74</f>
        <v/>
      </c>
      <c r="G114" s="1881" t="s">
        <v>610</v>
      </c>
      <c r="H114" s="585"/>
      <c r="I114" s="585"/>
      <c r="J114" s="585"/>
      <c r="K114" s="585"/>
      <c r="L114" s="585"/>
      <c r="M114" s="585"/>
      <c r="N114" s="297" t="str">
        <f>FHD_NOTE_P_74</f>
        <v/>
      </c>
      <c r="O114" s="551"/>
      <c r="AJ114" s="1639">
        <v>0</v>
      </c>
    </row>
    <row s="1643" customFormat="1" customHeight="1" ht="18.75" hidden="1">
      <c r="A115" s="2394" t="s">
        <v>611</v>
      </c>
      <c r="B115" s="918"/>
      <c r="C115" s="743"/>
      <c r="D115" s="741"/>
      <c r="E115" s="554" t="str">
        <f>FHD_NUM_P_75</f>
        <v/>
      </c>
      <c r="F115" s="1885" t="str">
        <f>FHD_P_75</f>
        <v/>
      </c>
      <c r="G115" s="1881" t="s">
        <v>575</v>
      </c>
      <c r="H115" s="565"/>
      <c r="I115" s="565"/>
      <c r="J115" s="565"/>
      <c r="K115" s="565"/>
      <c r="L115" s="565"/>
      <c r="M115" s="565"/>
      <c r="N115" s="297" t="str">
        <f>FHD_NOTE_P_75</f>
        <v/>
      </c>
      <c r="O115" s="742"/>
      <c r="P115" s="743"/>
      <c r="Q115" s="743"/>
      <c r="R115" s="918"/>
      <c r="S115" s="918"/>
      <c r="T115" s="918"/>
      <c r="U115" s="918"/>
      <c r="V115" s="743"/>
      <c r="W115" s="918"/>
      <c r="X115" s="918"/>
      <c r="Y115" s="744"/>
      <c r="Z115" s="918"/>
      <c r="AA115" s="918"/>
      <c r="AB115" s="918"/>
      <c r="AC115" s="918"/>
      <c r="AD115" s="918"/>
      <c r="AE115" s="745"/>
      <c r="AF115" s="745"/>
      <c r="AG115" s="745"/>
      <c r="AH115" s="745"/>
      <c r="AI115" s="745"/>
      <c r="AJ115" s="747">
        <v>0</v>
      </c>
    </row>
    <row s="1643" customFormat="1" customHeight="1" ht="18.75" hidden="1">
      <c r="A116" s="2394"/>
      <c r="B116" s="918"/>
      <c r="C116" s="743"/>
      <c r="D116" s="741"/>
      <c r="E116" s="554" t="str">
        <f>FHD_NUM_P_76</f>
        <v/>
      </c>
      <c r="F116" s="1885" t="str">
        <f>FHD_P_76</f>
        <v/>
      </c>
      <c r="G116" s="1881" t="s">
        <v>575</v>
      </c>
      <c r="H116" s="565"/>
      <c r="I116" s="565"/>
      <c r="J116" s="565"/>
      <c r="K116" s="565"/>
      <c r="L116" s="565"/>
      <c r="M116" s="565"/>
      <c r="N116" s="297" t="str">
        <f>FHD_NOTE_P_76</f>
        <v/>
      </c>
      <c r="O116" s="742"/>
      <c r="P116" s="743"/>
      <c r="Q116" s="743"/>
      <c r="R116" s="918"/>
      <c r="S116" s="918"/>
      <c r="T116" s="918"/>
      <c r="U116" s="918"/>
      <c r="V116" s="743"/>
      <c r="W116" s="918"/>
      <c r="X116" s="918"/>
      <c r="Y116" s="744"/>
      <c r="Z116" s="918"/>
      <c r="AA116" s="918"/>
      <c r="AB116" s="918"/>
      <c r="AC116" s="918"/>
      <c r="AD116" s="918"/>
      <c r="AE116" s="745"/>
      <c r="AF116" s="745"/>
      <c r="AG116" s="745"/>
      <c r="AH116" s="745"/>
      <c r="AI116" s="745"/>
      <c r="AJ116" s="747">
        <v>0</v>
      </c>
    </row>
    <row s="1643" customFormat="1" customHeight="1" ht="18.75" hidden="1">
      <c r="A117" s="2394"/>
      <c r="B117" s="918"/>
      <c r="C117" s="743"/>
      <c r="D117" s="741"/>
      <c r="E117" s="554" t="str">
        <f>FHD_NUM_P_77</f>
        <v/>
      </c>
      <c r="F117" s="1885" t="str">
        <f>FHD_P_77</f>
        <v/>
      </c>
      <c r="G117" s="1881" t="s">
        <v>575</v>
      </c>
      <c r="H117" s="565"/>
      <c r="I117" s="565"/>
      <c r="J117" s="565"/>
      <c r="K117" s="565"/>
      <c r="L117" s="565"/>
      <c r="M117" s="565"/>
      <c r="N117" s="297" t="str">
        <f>FHD_NOTE_P_77</f>
        <v/>
      </c>
      <c r="O117" s="742"/>
      <c r="P117" s="743"/>
      <c r="Q117" s="743"/>
      <c r="R117" s="918"/>
      <c r="S117" s="918"/>
      <c r="T117" s="918"/>
      <c r="U117" s="918"/>
      <c r="V117" s="743"/>
      <c r="W117" s="918"/>
      <c r="X117" s="918"/>
      <c r="Y117" s="744"/>
      <c r="Z117" s="918"/>
      <c r="AA117" s="918"/>
      <c r="AB117" s="918"/>
      <c r="AC117" s="918"/>
      <c r="AD117" s="918"/>
      <c r="AE117" s="745"/>
      <c r="AF117" s="745"/>
      <c r="AG117" s="745"/>
      <c r="AH117" s="745"/>
      <c r="AI117" s="745"/>
      <c r="AJ117" s="747">
        <v>0</v>
      </c>
    </row>
    <row s="1650" customFormat="1" customHeight="1" ht="0.75" hidden="1">
      <c r="A118" s="2394"/>
      <c r="D118" s="556"/>
      <c r="E118" s="1021" t="str">
        <f>E117&amp;".0"</f>
        <v>.0</v>
      </c>
      <c r="F118" s="1005"/>
      <c r="G118" s="1659"/>
      <c r="H118" s="1000"/>
      <c r="I118" s="1000"/>
      <c r="J118" s="1000"/>
      <c r="K118" s="1000"/>
      <c r="L118" s="1000"/>
      <c r="M118" s="1000"/>
      <c r="N118" s="1004"/>
      <c r="AJ118" s="1644">
        <v>0</v>
      </c>
    </row>
    <row s="1643" customFormat="1" customHeight="1" ht="15" hidden="1">
      <c r="A119" s="2394"/>
      <c r="B119" s="918"/>
      <c r="C119" s="743"/>
      <c r="D119" s="754"/>
      <c r="E119" s="981"/>
      <c r="F119" s="982" t="s">
        <v>612</v>
      </c>
      <c r="G119" s="755"/>
      <c r="H119" s="756"/>
      <c r="I119" s="756"/>
      <c r="J119" s="2671"/>
      <c r="K119" s="2672"/>
      <c r="L119" s="2673"/>
      <c r="M119" s="2674"/>
      <c r="N119" s="1011" t="s">
        <v>613</v>
      </c>
      <c r="O119" s="742"/>
      <c r="P119" s="743"/>
      <c r="Q119" s="743"/>
      <c r="R119" s="918"/>
      <c r="S119" s="918"/>
      <c r="T119" s="918"/>
      <c r="U119" s="918"/>
      <c r="V119" s="743"/>
      <c r="W119" s="918"/>
      <c r="X119" s="918"/>
      <c r="Y119" s="744"/>
      <c r="Z119" s="918"/>
      <c r="AA119" s="918"/>
      <c r="AB119" s="918"/>
      <c r="AC119" s="918"/>
      <c r="AD119" s="918"/>
      <c r="AE119" s="745"/>
      <c r="AF119" s="745"/>
      <c r="AG119" s="745"/>
      <c r="AH119" s="745"/>
      <c r="AI119" s="745"/>
      <c r="AJ119" s="747">
        <v>0</v>
      </c>
    </row>
    <row customHeight="1" ht="22.5" hidden="1">
      <c r="A120" s="2392" t="s">
        <v>614</v>
      </c>
      <c r="D120" s="1646"/>
      <c r="E120" s="554"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577</v>
      </c>
      <c r="H120" s="585"/>
      <c r="I120" s="585"/>
      <c r="J120" s="585"/>
      <c r="K120" s="585"/>
      <c r="L120" s="585"/>
      <c r="M120" s="585"/>
      <c r="N120" s="297" t="str">
        <f>FHD_NOTE_P_78</f>
        <v/>
      </c>
      <c r="O120" s="551"/>
      <c r="AJ120" s="1639">
        <v>0</v>
      </c>
    </row>
    <row s="1650" customFormat="1" customHeight="1" ht="0.75" hidden="1">
      <c r="A121" s="2392"/>
      <c r="D121" s="556"/>
      <c r="E121" s="1021" t="str">
        <f>E120&amp;".0"</f>
        <v>15.0</v>
      </c>
      <c r="F121" s="1005"/>
      <c r="G121" s="1659"/>
      <c r="H121" s="1000"/>
      <c r="I121" s="1000"/>
      <c r="J121" s="1000"/>
      <c r="K121" s="1000"/>
      <c r="L121" s="1000"/>
      <c r="M121" s="1000"/>
      <c r="N121" s="1004"/>
      <c r="AJ121" s="1644">
        <v>0</v>
      </c>
    </row>
    <row customHeight="1" ht="15" hidden="1">
      <c r="A122" s="2392"/>
      <c r="D122" s="1641"/>
      <c r="E122" s="578"/>
      <c r="F122" s="1176" t="s">
        <v>604</v>
      </c>
      <c r="G122" s="580"/>
      <c r="H122" s="581"/>
      <c r="I122" s="581"/>
      <c r="J122" s="2675"/>
      <c r="K122" s="2676"/>
      <c r="L122" s="2677"/>
      <c r="M122" s="2678"/>
      <c r="N122" s="1012" t="s">
        <v>615</v>
      </c>
      <c r="O122" s="551"/>
      <c r="AJ122" s="1639">
        <v>0</v>
      </c>
    </row>
    <row customHeight="1" ht="22.5" hidden="1">
      <c r="A123" s="2392"/>
      <c r="D123" s="1646"/>
      <c r="E123" s="554"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579</v>
      </c>
      <c r="H123" s="585"/>
      <c r="I123" s="585"/>
      <c r="J123" s="585"/>
      <c r="K123" s="585"/>
      <c r="L123" s="585"/>
      <c r="M123" s="585"/>
      <c r="N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23" s="551"/>
      <c r="AJ123" s="1639">
        <v>0</v>
      </c>
    </row>
    <row s="1650" customFormat="1" customHeight="1" ht="0.75" hidden="1">
      <c r="A124" s="2392"/>
      <c r="D124" s="556"/>
      <c r="E124" s="1021" t="str">
        <f>E123&amp;".0"</f>
        <v>16.0</v>
      </c>
      <c r="F124" s="1006"/>
      <c r="G124" s="1659"/>
      <c r="H124" s="1000"/>
      <c r="I124" s="1000"/>
      <c r="J124" s="1000"/>
      <c r="K124" s="1000"/>
      <c r="L124" s="1000"/>
      <c r="M124" s="1000"/>
      <c r="N124" s="1004"/>
      <c r="AJ124" s="1644">
        <v>0</v>
      </c>
    </row>
    <row customHeight="1" ht="15" hidden="1">
      <c r="A125" s="2392"/>
      <c r="D125" s="1641"/>
      <c r="E125" s="578"/>
      <c r="F125" s="1176" t="s">
        <v>604</v>
      </c>
      <c r="G125" s="580"/>
      <c r="H125" s="581"/>
      <c r="I125" s="581"/>
      <c r="J125" s="2679"/>
      <c r="K125" s="2680"/>
      <c r="L125" s="2681"/>
      <c r="M125" s="2682"/>
      <c r="N125" s="1012" t="s">
        <v>616</v>
      </c>
      <c r="O125" s="551"/>
      <c r="AJ125" s="1639">
        <v>0</v>
      </c>
    </row>
    <row customHeight="1" ht="22.5" hidden="1">
      <c r="A126" s="2392"/>
      <c r="D126" s="1646"/>
      <c r="E126" s="554"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617</v>
      </c>
      <c r="H126" s="565"/>
      <c r="I126" s="565"/>
      <c r="J126" s="565"/>
      <c r="K126" s="565"/>
      <c r="L126" s="565"/>
      <c r="M126" s="565"/>
      <c r="N126" s="297" t="str">
        <f>FHD_NOTE_P_80</f>
        <v>Регулируемыми организациями указывается информация с по договорам, заключенным в рамках осуществления регулируемой деятельности.</v>
      </c>
      <c r="O126" s="551"/>
      <c r="AJ126" s="1639">
        <v>0</v>
      </c>
    </row>
    <row customHeight="1" ht="18.75" hidden="1">
      <c r="A127" s="2392"/>
      <c r="D127" s="1646"/>
      <c r="E127" s="554"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618</v>
      </c>
      <c r="H127" s="565"/>
      <c r="I127" s="565"/>
      <c r="J127" s="565"/>
      <c r="K127" s="565"/>
      <c r="L127" s="565"/>
      <c r="M127" s="565"/>
      <c r="N127" s="297" t="str">
        <f>FHD_NOTE_P_81</f>
        <v>Регулируемыми организациями указывается информация с по договорам, заключенным в рамках осуществления регулируемой деятельности.</v>
      </c>
      <c r="O127" s="551"/>
      <c r="AJ127" s="1639">
        <v>0</v>
      </c>
    </row>
    <row customHeight="1" ht="18.75" hidden="1">
      <c r="A128" s="2392"/>
      <c r="C128" s="1644" t="s">
        <v>597</v>
      </c>
      <c r="D128" s="1646"/>
      <c r="E128" s="554"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323</v>
      </c>
      <c r="H128" s="409"/>
      <c r="I128" s="409"/>
      <c r="J128" s="826"/>
      <c r="K128" s="826"/>
      <c r="L128" s="826"/>
      <c r="M128" s="826"/>
      <c r="N128" s="297" t="str">
        <f>FHD_NOTE_P_82</f>
        <v>Указывается ссылка на документ, предварительно загруженный в хранилище файлов ФГИС ЕИАС.</v>
      </c>
      <c r="O128" s="551"/>
      <c r="AJ128" s="1639">
        <v>0</v>
      </c>
    </row>
    <row customHeight="1" ht="18.75" hidden="1">
      <c r="A129" s="2392"/>
      <c r="C129" s="1644" t="s">
        <v>597</v>
      </c>
      <c r="D129" s="1646"/>
      <c r="E129" s="554" t="str">
        <f>FHD_NUM_P_83</f>
        <v>19.1</v>
      </c>
      <c r="F129" s="1532" t="str">
        <f>FHD_P_83</f>
        <v>Информация о показателях физического износа объектов теплоснабжения</v>
      </c>
      <c r="G129" s="1883" t="s">
        <v>323</v>
      </c>
      <c r="H129" s="409"/>
      <c r="I129" s="409"/>
      <c r="J129" s="826"/>
      <c r="K129" s="826"/>
      <c r="L129" s="826"/>
      <c r="M129" s="826"/>
      <c r="N129" s="297" t="str">
        <f>FHD_NOTE_P_83</f>
        <v>Указывается ссылка на документ, предварительно загруженный в хранилище файлов ФГИС ЕИАС.</v>
      </c>
      <c r="O129" s="551"/>
      <c r="AJ129" s="1639">
        <v>0</v>
      </c>
    </row>
    <row customHeight="1" ht="18.75" hidden="1">
      <c r="A130" s="2392"/>
      <c r="C130" s="1644" t="s">
        <v>597</v>
      </c>
      <c r="D130" s="1646"/>
      <c r="E130" s="554" t="str">
        <f>FHD_NUM_P_84</f>
        <v>19.2</v>
      </c>
      <c r="F130" s="1532" t="str">
        <f>FHD_P_84</f>
        <v>Информация о показателях энергетической эффективности объектов теплоснабжения</v>
      </c>
      <c r="G130" s="1883" t="s">
        <v>323</v>
      </c>
      <c r="H130" s="409"/>
      <c r="I130" s="409"/>
      <c r="J130" s="826"/>
      <c r="K130" s="826"/>
      <c r="L130" s="826"/>
      <c r="M130" s="826"/>
      <c r="N130" s="297" t="str">
        <f>FHD_NOTE_P_84</f>
        <v>Указывается ссылка на документ, предварительно загруженный в хранилище файлов ФГИС ЕИАС.</v>
      </c>
      <c r="O130" s="551"/>
      <c r="AJ130" s="1639">
        <v>0</v>
      </c>
    </row>
    <row customHeight="1" ht="11.25" hidden="1">
      <c r="D131" s="1646"/>
      <c r="J131" s="1643"/>
      <c r="K131" s="1643"/>
      <c r="L131" s="1643"/>
      <c r="M131" s="1643"/>
      <c r="AJ131" s="1639">
        <v>11</v>
      </c>
    </row>
    <row customHeight="1" ht="13.5">
      <c r="D132" s="1646"/>
      <c r="E132" s="344"/>
      <c r="F132" s="377"/>
      <c r="G132" s="377"/>
      <c r="H132" s="377"/>
      <c r="I132" s="1655"/>
      <c r="J132" s="1694"/>
      <c r="K132" s="1694"/>
      <c r="L132" s="1694"/>
      <c r="M132" s="1694"/>
      <c r="N132" s="589"/>
      <c r="AJ132" s="1639">
        <v>13</v>
      </c>
    </row>
    <row s="1649" customFormat="1" customHeight="1" ht="11.549999999999999">
      <c r="A133" s="995"/>
      <c r="B133" s="1644"/>
      <c r="C133" s="1644"/>
      <c r="D133" s="359"/>
      <c r="F133" s="1648"/>
      <c r="G133" s="1639"/>
      <c r="H133" s="1639"/>
      <c r="I133" s="1639"/>
      <c r="J133" s="1643"/>
      <c r="K133" s="1643"/>
      <c r="L133" s="1643"/>
      <c r="M133" s="1643"/>
      <c r="O133" s="1168"/>
      <c r="P133" s="1644"/>
      <c r="Q133" s="1644"/>
      <c r="R133" s="1168"/>
      <c r="S133" s="1168"/>
      <c r="T133" s="1168"/>
      <c r="U133" s="1168"/>
      <c r="V133" s="1644"/>
      <c r="W133" s="1168"/>
      <c r="X133" s="1168"/>
      <c r="Y133" s="552"/>
      <c r="Z133" s="1168"/>
      <c r="AA133" s="1168"/>
      <c r="AB133" s="1168"/>
      <c r="AC133" s="1168"/>
      <c r="AD133" s="1168"/>
      <c r="AE133" s="1640"/>
      <c r="AF133" s="574"/>
      <c r="AG133" s="574"/>
      <c r="AH133" s="574"/>
      <c r="AI133" s="574"/>
      <c r="AJ133" s="1649">
        <v>11</v>
      </c>
    </row>
    <row s="1649" customFormat="1" customHeight="1" ht="11.549999999999999">
      <c r="A134" s="995"/>
      <c r="B134" s="1644"/>
      <c r="C134" s="1644"/>
      <c r="D134" s="359"/>
      <c r="J134" s="1649"/>
      <c r="K134" s="1649"/>
      <c r="L134" s="1649"/>
      <c r="M134" s="1649"/>
      <c r="O134" s="1168"/>
      <c r="P134" s="1644"/>
      <c r="Q134" s="1644"/>
      <c r="R134" s="1168"/>
      <c r="S134" s="1168"/>
      <c r="T134" s="1168"/>
      <c r="U134" s="1168"/>
      <c r="V134" s="1644"/>
      <c r="W134" s="1168"/>
      <c r="X134" s="1168"/>
      <c r="Y134" s="552"/>
      <c r="Z134" s="1168"/>
      <c r="AA134" s="1168"/>
      <c r="AB134" s="1168"/>
      <c r="AC134" s="1168"/>
      <c r="AD134" s="1168"/>
      <c r="AE134" s="1640"/>
      <c r="AF134" s="574"/>
      <c r="AG134" s="574"/>
      <c r="AH134" s="574"/>
      <c r="AI134" s="574"/>
      <c r="AJ134" s="1649">
        <v>11</v>
      </c>
    </row>
    <row s="1649" customFormat="1" customHeight="1" ht="11.549999999999999">
      <c r="A135" s="995"/>
      <c r="B135" s="1644"/>
      <c r="C135" s="1644"/>
      <c r="D135" s="359"/>
      <c r="J135" s="1649"/>
      <c r="K135" s="1649"/>
      <c r="L135" s="1649"/>
      <c r="M135" s="1649"/>
      <c r="O135" s="1168"/>
      <c r="P135" s="1644"/>
      <c r="Q135" s="1644"/>
      <c r="R135" s="1168"/>
      <c r="S135" s="1168"/>
      <c r="T135" s="1168"/>
      <c r="U135" s="1168"/>
      <c r="V135" s="1644"/>
      <c r="W135" s="1168"/>
      <c r="X135" s="1168"/>
      <c r="Y135" s="552"/>
      <c r="Z135" s="1168"/>
      <c r="AA135" s="1168"/>
      <c r="AB135" s="1168"/>
      <c r="AC135" s="1168"/>
      <c r="AD135" s="1168"/>
      <c r="AE135" s="1640"/>
      <c r="AF135" s="574"/>
      <c r="AG135" s="574"/>
      <c r="AH135" s="574"/>
      <c r="AI135" s="574"/>
      <c r="AJ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O136" s="1168"/>
      <c r="P136" s="1644"/>
      <c r="Q136" s="1644"/>
      <c r="R136" s="1168"/>
      <c r="S136" s="1168"/>
      <c r="T136" s="1168"/>
      <c r="U136" s="1168"/>
      <c r="V136" s="1644"/>
      <c r="W136" s="1168"/>
      <c r="X136" s="1168"/>
      <c r="Y136" s="552"/>
      <c r="Z136" s="1168"/>
      <c r="AA136" s="1168"/>
      <c r="AB136" s="1168"/>
      <c r="AC136" s="1168"/>
      <c r="AD136" s="1168"/>
      <c r="AE136" s="1640"/>
      <c r="AF136" s="574"/>
      <c r="AG136" s="574"/>
      <c r="AH136" s="574"/>
      <c r="AI136" s="574"/>
      <c r="AJ136" s="1649">
        <v>11</v>
      </c>
    </row>
    <row s="1649" customFormat="1" customHeight="1" ht="11.549999999999999">
      <c r="A137" s="995"/>
      <c r="B137" s="1644"/>
      <c r="C137" s="1644"/>
      <c r="D137" s="359"/>
      <c r="J137" s="1649"/>
      <c r="K137" s="1649"/>
      <c r="L137" s="1649"/>
      <c r="M137" s="1649"/>
      <c r="O137" s="1168"/>
      <c r="P137" s="1644"/>
      <c r="Q137" s="1644"/>
      <c r="R137" s="1168"/>
      <c r="S137" s="1168"/>
      <c r="T137" s="1168"/>
      <c r="U137" s="1168"/>
      <c r="V137" s="1644"/>
      <c r="W137" s="1168"/>
      <c r="X137" s="1168"/>
      <c r="Y137" s="552"/>
      <c r="Z137" s="1168"/>
      <c r="AA137" s="1168"/>
      <c r="AB137" s="1168"/>
      <c r="AC137" s="1168"/>
      <c r="AD137" s="1168"/>
      <c r="AE137" s="1640"/>
      <c r="AF137" s="574"/>
      <c r="AG137" s="574"/>
      <c r="AH137" s="574"/>
      <c r="AI137" s="574"/>
      <c r="AJ137" s="1649">
        <v>11</v>
      </c>
    </row>
    <row s="1649" customFormat="1" customHeight="1" ht="11.549999999999999">
      <c r="A138" s="995"/>
      <c r="B138" s="1644"/>
      <c r="C138" s="1644"/>
      <c r="D138" s="359"/>
      <c r="J138" s="1649"/>
      <c r="K138" s="1649"/>
      <c r="L138" s="1649"/>
      <c r="M138" s="1649"/>
      <c r="O138" s="1168"/>
      <c r="P138" s="1644"/>
      <c r="Q138" s="1644"/>
      <c r="R138" s="1168"/>
      <c r="S138" s="1168"/>
      <c r="T138" s="1168"/>
      <c r="U138" s="1168"/>
      <c r="V138" s="1644"/>
      <c r="W138" s="1168"/>
      <c r="X138" s="1168"/>
      <c r="Y138" s="552"/>
      <c r="Z138" s="1168"/>
      <c r="AA138" s="1168"/>
      <c r="AB138" s="1168"/>
      <c r="AC138" s="1168"/>
      <c r="AD138" s="1168"/>
      <c r="AE138" s="1640"/>
      <c r="AF138" s="574"/>
      <c r="AG138" s="574"/>
      <c r="AH138" s="574"/>
      <c r="AI138" s="574"/>
      <c r="AJ138" s="1649">
        <v>11</v>
      </c>
    </row>
    <row s="1649" customFormat="1" customHeight="1" ht="11.549999999999999">
      <c r="A139" s="995"/>
      <c r="B139" s="1644"/>
      <c r="C139" s="1644"/>
      <c r="D139" s="359"/>
      <c r="J139" s="1649"/>
      <c r="K139" s="1649"/>
      <c r="L139" s="1649"/>
      <c r="M139" s="1649"/>
      <c r="O139" s="1168"/>
      <c r="P139" s="1644"/>
      <c r="Q139" s="1644"/>
      <c r="R139" s="1168"/>
      <c r="S139" s="1168"/>
      <c r="T139" s="1168"/>
      <c r="U139" s="1168"/>
      <c r="V139" s="1644"/>
      <c r="W139" s="1168"/>
      <c r="X139" s="1168"/>
      <c r="Y139" s="552"/>
      <c r="Z139" s="1168"/>
      <c r="AA139" s="1168"/>
      <c r="AB139" s="1168"/>
      <c r="AC139" s="1168"/>
      <c r="AD139" s="1168"/>
      <c r="AE139" s="1640"/>
      <c r="AF139" s="574"/>
      <c r="AG139" s="574"/>
      <c r="AH139" s="574"/>
      <c r="AI139" s="574"/>
      <c r="AJ139" s="1649">
        <v>11</v>
      </c>
    </row>
    <row s="1649" customFormat="1" customHeight="1" ht="11.549999999999999">
      <c r="A140" s="995"/>
      <c r="B140" s="1644"/>
      <c r="C140" s="1644"/>
      <c r="D140" s="359"/>
      <c r="J140" s="1649"/>
      <c r="K140" s="1649"/>
      <c r="L140" s="1649"/>
      <c r="M140" s="1649"/>
      <c r="O140" s="1168"/>
      <c r="P140" s="1644"/>
      <c r="Q140" s="1644"/>
      <c r="R140" s="1168"/>
      <c r="S140" s="1168"/>
      <c r="T140" s="1168"/>
      <c r="U140" s="1168"/>
      <c r="V140" s="1644"/>
      <c r="W140" s="1168"/>
      <c r="X140" s="1168"/>
      <c r="Y140" s="552"/>
      <c r="Z140" s="1168"/>
      <c r="AA140" s="1168"/>
      <c r="AB140" s="1168"/>
      <c r="AC140" s="1168"/>
      <c r="AD140" s="1168"/>
      <c r="AE140" s="1640"/>
      <c r="AF140" s="574"/>
      <c r="AG140" s="574"/>
      <c r="AH140" s="574"/>
      <c r="AI140" s="574"/>
      <c r="AJ140" s="1649">
        <v>11</v>
      </c>
    </row>
    <row s="1649" customFormat="1" customHeight="1" ht="11.549999999999999">
      <c r="A141" s="995"/>
      <c r="B141" s="1644"/>
      <c r="C141" s="1644"/>
      <c r="D141" s="359"/>
      <c r="J141" s="1649"/>
      <c r="K141" s="1649"/>
      <c r="L141" s="1649"/>
      <c r="M141" s="1649"/>
      <c r="O141" s="1168"/>
      <c r="P141" s="1644"/>
      <c r="Q141" s="1644"/>
      <c r="R141" s="1168"/>
      <c r="S141" s="1168"/>
      <c r="T141" s="1168"/>
      <c r="U141" s="1168"/>
      <c r="V141" s="1644"/>
      <c r="W141" s="1168"/>
      <c r="X141" s="1168"/>
      <c r="Y141" s="552"/>
      <c r="Z141" s="1168"/>
      <c r="AA141" s="1168"/>
      <c r="AB141" s="1168"/>
      <c r="AC141" s="1168"/>
      <c r="AD141" s="1168"/>
      <c r="AE141" s="1640"/>
      <c r="AF141" s="574"/>
      <c r="AG141" s="574"/>
      <c r="AH141" s="574"/>
      <c r="AI141" s="574"/>
      <c r="AJ141" s="1649">
        <v>11</v>
      </c>
    </row>
    <row s="1649" customFormat="1" customHeight="1" ht="11.549999999999999">
      <c r="A142" s="995"/>
      <c r="B142" s="1644"/>
      <c r="C142" s="1644"/>
      <c r="D142" s="359"/>
      <c r="J142" s="1649"/>
      <c r="K142" s="1649"/>
      <c r="L142" s="1649"/>
      <c r="M142" s="1649"/>
      <c r="O142" s="1168"/>
      <c r="P142" s="1644"/>
      <c r="Q142" s="1644"/>
      <c r="R142" s="1168"/>
      <c r="S142" s="1168"/>
      <c r="T142" s="1168"/>
      <c r="U142" s="1168"/>
      <c r="V142" s="1644"/>
      <c r="W142" s="1168"/>
      <c r="X142" s="1168"/>
      <c r="Y142" s="552"/>
      <c r="Z142" s="1168"/>
      <c r="AA142" s="1168"/>
      <c r="AB142" s="1168"/>
      <c r="AC142" s="1168"/>
      <c r="AD142" s="1168"/>
      <c r="AE142" s="1640"/>
      <c r="AF142" s="574"/>
      <c r="AG142" s="574"/>
      <c r="AH142" s="574"/>
      <c r="AI142" s="574"/>
      <c r="AJ142" s="1649">
        <v>11</v>
      </c>
    </row>
    <row s="1649" customFormat="1" customHeight="1" ht="11.549999999999999">
      <c r="A143" s="995"/>
      <c r="B143" s="1644"/>
      <c r="C143" s="1644"/>
      <c r="D143" s="359"/>
      <c r="J143" s="1649"/>
      <c r="K143" s="1649"/>
      <c r="L143" s="1649"/>
      <c r="M143" s="1649"/>
      <c r="O143" s="1168"/>
      <c r="P143" s="1644"/>
      <c r="Q143" s="1644"/>
      <c r="R143" s="1168"/>
      <c r="S143" s="1168"/>
      <c r="T143" s="1168"/>
      <c r="U143" s="1168"/>
      <c r="V143" s="1644"/>
      <c r="W143" s="1168"/>
      <c r="X143" s="1168"/>
      <c r="Y143" s="552"/>
      <c r="Z143" s="1168"/>
      <c r="AA143" s="1168"/>
      <c r="AB143" s="1168"/>
      <c r="AC143" s="1168"/>
      <c r="AD143" s="1168"/>
      <c r="AE143" s="1640"/>
      <c r="AF143" s="574"/>
      <c r="AG143" s="574"/>
      <c r="AH143" s="574"/>
      <c r="AI143" s="574"/>
      <c r="AJ143" s="1649">
        <v>11</v>
      </c>
    </row>
    <row s="1649" customFormat="1" customHeight="1" ht="11.549999999999999">
      <c r="A144" s="995"/>
      <c r="B144" s="1644"/>
      <c r="C144" s="1644"/>
      <c r="D144" s="359"/>
      <c r="J144" s="1649"/>
      <c r="K144" s="1649"/>
      <c r="L144" s="1649"/>
      <c r="M144" s="1649"/>
      <c r="O144" s="1168"/>
      <c r="P144" s="1644"/>
      <c r="Q144" s="1644"/>
      <c r="R144" s="1168"/>
      <c r="S144" s="1168"/>
      <c r="T144" s="1168"/>
      <c r="U144" s="1168"/>
      <c r="V144" s="1644"/>
      <c r="W144" s="1168"/>
      <c r="X144" s="1168"/>
      <c r="Y144" s="552"/>
      <c r="Z144" s="1168"/>
      <c r="AA144" s="1168"/>
      <c r="AB144" s="1168"/>
      <c r="AC144" s="1168"/>
      <c r="AD144" s="1168"/>
      <c r="AE144" s="1640"/>
      <c r="AF144" s="574"/>
      <c r="AG144" s="574"/>
      <c r="AH144" s="574"/>
      <c r="AI144" s="574"/>
      <c r="AJ144" s="1649">
        <v>11</v>
      </c>
    </row>
    <row s="1649" customFormat="1" customHeight="1" ht="11.549999999999999">
      <c r="A145" s="995"/>
      <c r="B145" s="1644"/>
      <c r="C145" s="1644"/>
      <c r="D145" s="359"/>
      <c r="J145" s="1649"/>
      <c r="K145" s="1649"/>
      <c r="L145" s="1649"/>
      <c r="M145" s="1649"/>
      <c r="O145" s="1168"/>
      <c r="P145" s="1644"/>
      <c r="Q145" s="1644"/>
      <c r="R145" s="1168"/>
      <c r="S145" s="1168"/>
      <c r="T145" s="1168"/>
      <c r="U145" s="1168"/>
      <c r="V145" s="1644"/>
      <c r="W145" s="1168"/>
      <c r="X145" s="1168"/>
      <c r="Y145" s="552"/>
      <c r="Z145" s="1168"/>
      <c r="AA145" s="1168"/>
      <c r="AB145" s="1168"/>
      <c r="AC145" s="1168"/>
      <c r="AD145" s="1168"/>
      <c r="AE145" s="1640"/>
      <c r="AF145" s="574"/>
      <c r="AG145" s="574"/>
      <c r="AH145" s="574"/>
      <c r="AI145" s="574"/>
      <c r="AJ145" s="1649">
        <v>11</v>
      </c>
    </row>
    <row s="1649" customFormat="1" customHeight="1" ht="11.549999999999999">
      <c r="A146" s="995"/>
      <c r="B146" s="1644"/>
      <c r="C146" s="1644"/>
      <c r="D146" s="359"/>
      <c r="J146" s="1649"/>
      <c r="K146" s="1649"/>
      <c r="L146" s="1649"/>
      <c r="M146" s="1649"/>
      <c r="O146" s="1168"/>
      <c r="P146" s="1644"/>
      <c r="Q146" s="1644"/>
      <c r="R146" s="1168"/>
      <c r="S146" s="1168"/>
      <c r="T146" s="1168"/>
      <c r="U146" s="1168"/>
      <c r="V146" s="1644"/>
      <c r="W146" s="1168"/>
      <c r="X146" s="1168"/>
      <c r="Y146" s="552"/>
      <c r="Z146" s="1168"/>
      <c r="AA146" s="1168"/>
      <c r="AB146" s="1168"/>
      <c r="AC146" s="1168"/>
      <c r="AD146" s="1168"/>
      <c r="AE146" s="1640"/>
      <c r="AF146" s="574"/>
      <c r="AG146" s="574"/>
      <c r="AH146" s="574"/>
      <c r="AI146" s="574"/>
      <c r="AJ146" s="1649">
        <v>11</v>
      </c>
    </row>
    <row s="1649" customFormat="1" customHeight="1" ht="11.549999999999999">
      <c r="A147" s="995"/>
      <c r="B147" s="1644"/>
      <c r="C147" s="1644"/>
      <c r="D147" s="359"/>
      <c r="J147" s="1649"/>
      <c r="K147" s="1649"/>
      <c r="L147" s="1649"/>
      <c r="M147" s="1649"/>
      <c r="O147" s="1168"/>
      <c r="P147" s="1644"/>
      <c r="Q147" s="1644"/>
      <c r="R147" s="1168"/>
      <c r="S147" s="1168"/>
      <c r="T147" s="1168"/>
      <c r="U147" s="1168"/>
      <c r="V147" s="1644"/>
      <c r="W147" s="1168"/>
      <c r="X147" s="1168"/>
      <c r="Y147" s="552"/>
      <c r="Z147" s="1168"/>
      <c r="AA147" s="1168"/>
      <c r="AB147" s="1168"/>
      <c r="AC147" s="1168"/>
      <c r="AD147" s="1168"/>
      <c r="AE147" s="1640"/>
      <c r="AF147" s="574"/>
      <c r="AG147" s="574"/>
      <c r="AH147" s="574"/>
      <c r="AI147" s="574"/>
      <c r="AJ147" s="1649">
        <v>11</v>
      </c>
    </row>
    <row s="1649" customFormat="1" customHeight="1" ht="11.549999999999999">
      <c r="A148" s="995"/>
      <c r="B148" s="1644"/>
      <c r="C148" s="1644"/>
      <c r="D148" s="359"/>
      <c r="J148" s="1649"/>
      <c r="K148" s="1649"/>
      <c r="L148" s="1649"/>
      <c r="M148" s="1649"/>
      <c r="O148" s="1168"/>
      <c r="P148" s="1644"/>
      <c r="Q148" s="1644"/>
      <c r="R148" s="1168"/>
      <c r="S148" s="1168"/>
      <c r="T148" s="1168"/>
      <c r="U148" s="1168"/>
      <c r="V148" s="1644"/>
      <c r="W148" s="1168"/>
      <c r="X148" s="1168"/>
      <c r="Y148" s="552"/>
      <c r="Z148" s="1168"/>
      <c r="AA148" s="1168"/>
      <c r="AB148" s="1168"/>
      <c r="AC148" s="1168"/>
      <c r="AD148" s="1168"/>
      <c r="AE148" s="1640"/>
      <c r="AF148" s="574"/>
      <c r="AG148" s="574"/>
      <c r="AH148" s="574"/>
      <c r="AI148" s="574"/>
      <c r="AJ148" s="1649">
        <v>11</v>
      </c>
    </row>
    <row s="1649" customFormat="1" customHeight="1" ht="11.549999999999999">
      <c r="A149" s="995"/>
      <c r="B149" s="1644"/>
      <c r="C149" s="1644"/>
      <c r="D149" s="359"/>
      <c r="J149" s="1649"/>
      <c r="K149" s="1649"/>
      <c r="L149" s="1649"/>
      <c r="M149" s="1649"/>
      <c r="O149" s="1168"/>
      <c r="P149" s="1644"/>
      <c r="Q149" s="1644"/>
      <c r="R149" s="1168"/>
      <c r="S149" s="1168"/>
      <c r="T149" s="1168"/>
      <c r="U149" s="1168"/>
      <c r="V149" s="1644"/>
      <c r="W149" s="1168"/>
      <c r="X149" s="1168"/>
      <c r="Y149" s="552"/>
      <c r="Z149" s="1168"/>
      <c r="AA149" s="1168"/>
      <c r="AB149" s="1168"/>
      <c r="AC149" s="1168"/>
      <c r="AD149" s="1168"/>
      <c r="AE149" s="1640"/>
      <c r="AF149" s="574"/>
      <c r="AG149" s="574"/>
      <c r="AH149" s="574"/>
      <c r="AI149" s="574"/>
      <c r="AJ149" s="1649">
        <v>11</v>
      </c>
    </row>
    <row s="1649" customFormat="1" customHeight="1" ht="11.549999999999999">
      <c r="A150" s="995"/>
      <c r="B150" s="1644"/>
      <c r="C150" s="1644"/>
      <c r="D150" s="359"/>
      <c r="J150" s="1649"/>
      <c r="K150" s="1649"/>
      <c r="L150" s="1649"/>
      <c r="M150" s="1649"/>
      <c r="O150" s="1168"/>
      <c r="P150" s="1644"/>
      <c r="Q150" s="1644"/>
      <c r="R150" s="1168"/>
      <c r="S150" s="1168"/>
      <c r="T150" s="1168"/>
      <c r="U150" s="1168"/>
      <c r="V150" s="1644"/>
      <c r="W150" s="1168"/>
      <c r="X150" s="1168"/>
      <c r="Y150" s="552"/>
      <c r="Z150" s="1168"/>
      <c r="AA150" s="1168"/>
      <c r="AB150" s="1168"/>
      <c r="AC150" s="1168"/>
      <c r="AD150" s="1168"/>
      <c r="AE150" s="1640"/>
      <c r="AF150" s="574"/>
      <c r="AG150" s="574"/>
      <c r="AH150" s="574"/>
      <c r="AI150" s="574"/>
      <c r="AJ150" s="1649">
        <v>11</v>
      </c>
    </row>
    <row s="1649" customFormat="1" customHeight="1" ht="11.549999999999999">
      <c r="A151" s="995"/>
      <c r="B151" s="1644"/>
      <c r="C151" s="1644"/>
      <c r="D151" s="359"/>
      <c r="J151" s="1649"/>
      <c r="K151" s="1649"/>
      <c r="L151" s="1649"/>
      <c r="M151" s="1649"/>
      <c r="O151" s="1168"/>
      <c r="P151" s="1644"/>
      <c r="Q151" s="1644"/>
      <c r="R151" s="1168"/>
      <c r="S151" s="1168"/>
      <c r="T151" s="1168"/>
      <c r="U151" s="1168"/>
      <c r="V151" s="1644"/>
      <c r="W151" s="1168"/>
      <c r="X151" s="1168"/>
      <c r="Y151" s="552"/>
      <c r="Z151" s="1168"/>
      <c r="AA151" s="1168"/>
      <c r="AB151" s="1168"/>
      <c r="AC151" s="1168"/>
      <c r="AD151" s="1168"/>
      <c r="AE151" s="1640"/>
      <c r="AF151" s="574"/>
      <c r="AG151" s="574"/>
      <c r="AH151" s="574"/>
      <c r="AI151" s="574"/>
      <c r="AJ151" s="1649">
        <v>11</v>
      </c>
    </row>
    <row s="1649" customFormat="1" customHeight="1" ht="11.549999999999999">
      <c r="A152" s="995"/>
      <c r="B152" s="1644"/>
      <c r="C152" s="1644"/>
      <c r="D152" s="359"/>
      <c r="J152" s="1649"/>
      <c r="K152" s="1649"/>
      <c r="L152" s="1649"/>
      <c r="M152" s="1649"/>
      <c r="O152" s="1168"/>
      <c r="P152" s="1644"/>
      <c r="Q152" s="1644"/>
      <c r="R152" s="1168"/>
      <c r="S152" s="1168"/>
      <c r="T152" s="1168"/>
      <c r="U152" s="1168"/>
      <c r="V152" s="1644"/>
      <c r="W152" s="1168"/>
      <c r="X152" s="1168"/>
      <c r="Y152" s="552"/>
      <c r="Z152" s="1168"/>
      <c r="AA152" s="1168"/>
      <c r="AB152" s="1168"/>
      <c r="AC152" s="1168"/>
      <c r="AD152" s="1168"/>
      <c r="AE152" s="1640"/>
      <c r="AF152" s="574"/>
      <c r="AG152" s="574"/>
      <c r="AH152" s="574"/>
      <c r="AI152" s="574"/>
      <c r="AJ152" s="1649">
        <v>11</v>
      </c>
    </row>
    <row s="1649" customFormat="1" customHeight="1" ht="11.549999999999999">
      <c r="A153" s="995"/>
      <c r="B153" s="1644"/>
      <c r="C153" s="1644"/>
      <c r="D153" s="359"/>
      <c r="J153" s="1649"/>
      <c r="K153" s="1649"/>
      <c r="L153" s="1649"/>
      <c r="M153" s="1649"/>
      <c r="O153" s="1168"/>
      <c r="P153" s="1644"/>
      <c r="Q153" s="1644"/>
      <c r="R153" s="1168"/>
      <c r="S153" s="1168"/>
      <c r="T153" s="1168"/>
      <c r="U153" s="1168"/>
      <c r="V153" s="1644"/>
      <c r="W153" s="1168"/>
      <c r="X153" s="1168"/>
      <c r="Y153" s="552"/>
      <c r="Z153" s="1168"/>
      <c r="AA153" s="1168"/>
      <c r="AB153" s="1168"/>
      <c r="AC153" s="1168"/>
      <c r="AD153" s="1168"/>
      <c r="AE153" s="1640"/>
      <c r="AF153" s="574"/>
      <c r="AG153" s="574"/>
      <c r="AH153" s="574"/>
      <c r="AI153" s="574"/>
      <c r="AJ153" s="1649">
        <v>11</v>
      </c>
    </row>
    <row s="1649" customFormat="1" customHeight="1" ht="11.549999999999999">
      <c r="A154" s="995"/>
      <c r="B154" s="1644"/>
      <c r="C154" s="1644"/>
      <c r="D154" s="359"/>
      <c r="J154" s="1649"/>
      <c r="K154" s="1649"/>
      <c r="L154" s="1649"/>
      <c r="M154" s="1649"/>
      <c r="O154" s="1168"/>
      <c r="P154" s="1644"/>
      <c r="Q154" s="1644"/>
      <c r="R154" s="1168"/>
      <c r="S154" s="1168"/>
      <c r="T154" s="1168"/>
      <c r="U154" s="1168"/>
      <c r="V154" s="1644"/>
      <c r="W154" s="1168"/>
      <c r="X154" s="1168"/>
      <c r="Y154" s="552"/>
      <c r="Z154" s="1168"/>
      <c r="AA154" s="1168"/>
      <c r="AB154" s="1168"/>
      <c r="AC154" s="1168"/>
      <c r="AD154" s="1168"/>
      <c r="AE154" s="1640"/>
      <c r="AF154" s="574"/>
      <c r="AG154" s="574"/>
      <c r="AH154" s="574"/>
      <c r="AI154" s="574"/>
      <c r="AJ154" s="1649">
        <v>11</v>
      </c>
    </row>
    <row s="1649" customFormat="1" customHeight="1" ht="11.549999999999999">
      <c r="A155" s="995"/>
      <c r="B155" s="1644"/>
      <c r="C155" s="1644"/>
      <c r="D155" s="359"/>
      <c r="J155" s="1649"/>
      <c r="K155" s="1649"/>
      <c r="L155" s="1649"/>
      <c r="M155" s="1649"/>
      <c r="O155" s="1168"/>
      <c r="P155" s="1644"/>
      <c r="Q155" s="1644"/>
      <c r="R155" s="1168"/>
      <c r="S155" s="1168"/>
      <c r="T155" s="1168"/>
      <c r="U155" s="1168"/>
      <c r="V155" s="1644"/>
      <c r="W155" s="1168"/>
      <c r="X155" s="1168"/>
      <c r="Y155" s="552"/>
      <c r="Z155" s="1168"/>
      <c r="AA155" s="1168"/>
      <c r="AB155" s="1168"/>
      <c r="AC155" s="1168"/>
      <c r="AD155" s="1168"/>
      <c r="AE155" s="1640"/>
      <c r="AF155" s="574"/>
      <c r="AG155" s="574"/>
      <c r="AH155" s="574"/>
      <c r="AI155" s="574"/>
      <c r="AJ155" s="1649">
        <v>11</v>
      </c>
    </row>
    <row s="1649" customFormat="1" customHeight="1" ht="11.549999999999999">
      <c r="A156" s="995"/>
      <c r="B156" s="1644"/>
      <c r="C156" s="1644"/>
      <c r="D156" s="359"/>
      <c r="J156" s="1649"/>
      <c r="K156" s="1649"/>
      <c r="L156" s="1649"/>
      <c r="M156" s="1649"/>
      <c r="O156" s="1168"/>
      <c r="P156" s="1644"/>
      <c r="Q156" s="1644"/>
      <c r="R156" s="1168"/>
      <c r="S156" s="1168"/>
      <c r="T156" s="1168"/>
      <c r="U156" s="1168"/>
      <c r="V156" s="1644"/>
      <c r="W156" s="1168"/>
      <c r="X156" s="1168"/>
      <c r="Y156" s="552"/>
      <c r="Z156" s="1168"/>
      <c r="AA156" s="1168"/>
      <c r="AB156" s="1168"/>
      <c r="AC156" s="1168"/>
      <c r="AD156" s="1168"/>
      <c r="AE156" s="1640"/>
      <c r="AF156" s="574"/>
      <c r="AG156" s="574"/>
      <c r="AH156" s="574"/>
      <c r="AI156" s="574"/>
      <c r="AJ156" s="1649">
        <v>11</v>
      </c>
    </row>
    <row s="1649" customFormat="1" customHeight="1" ht="11.549999999999999">
      <c r="A157" s="995"/>
      <c r="B157" s="1644"/>
      <c r="C157" s="1644"/>
      <c r="D157" s="359"/>
      <c r="J157" s="1649"/>
      <c r="K157" s="1649"/>
      <c r="L157" s="1649"/>
      <c r="M157" s="1649"/>
      <c r="O157" s="1168"/>
      <c r="P157" s="1644"/>
      <c r="Q157" s="1644"/>
      <c r="R157" s="1168"/>
      <c r="S157" s="1168"/>
      <c r="T157" s="1168"/>
      <c r="U157" s="1168"/>
      <c r="V157" s="1644"/>
      <c r="W157" s="1168"/>
      <c r="X157" s="1168"/>
      <c r="Y157" s="552"/>
      <c r="Z157" s="1168"/>
      <c r="AA157" s="1168"/>
      <c r="AB157" s="1168"/>
      <c r="AC157" s="1168"/>
      <c r="AD157" s="1168"/>
      <c r="AE157" s="1640"/>
      <c r="AF157" s="574"/>
      <c r="AG157" s="574"/>
      <c r="AH157" s="574"/>
      <c r="AI157" s="574"/>
      <c r="AJ157" s="1649">
        <v>11</v>
      </c>
    </row>
    <row s="1649" customFormat="1" customHeight="1" ht="11.549999999999999">
      <c r="A158" s="995"/>
      <c r="B158" s="1644"/>
      <c r="C158" s="1644"/>
      <c r="D158" s="359"/>
      <c r="J158" s="1649"/>
      <c r="K158" s="1649"/>
      <c r="L158" s="1649"/>
      <c r="M158" s="1649"/>
      <c r="O158" s="1168"/>
      <c r="P158" s="1644"/>
      <c r="Q158" s="1644"/>
      <c r="R158" s="1168"/>
      <c r="S158" s="1168"/>
      <c r="T158" s="1168"/>
      <c r="U158" s="1168"/>
      <c r="V158" s="1644"/>
      <c r="W158" s="1168"/>
      <c r="X158" s="1168"/>
      <c r="Y158" s="552"/>
      <c r="Z158" s="1168"/>
      <c r="AA158" s="1168"/>
      <c r="AB158" s="1168"/>
      <c r="AC158" s="1168"/>
      <c r="AD158" s="1168"/>
      <c r="AE158" s="1640"/>
      <c r="AF158" s="574"/>
      <c r="AG158" s="574"/>
      <c r="AH158" s="574"/>
      <c r="AI158" s="574"/>
      <c r="AJ158" s="1649">
        <v>11</v>
      </c>
    </row>
    <row s="1649" customFormat="1" customHeight="1" ht="11.549999999999999">
      <c r="A159" s="995"/>
      <c r="B159" s="1644"/>
      <c r="C159" s="1644"/>
      <c r="D159" s="359"/>
      <c r="J159" s="1649"/>
      <c r="K159" s="1649"/>
      <c r="L159" s="1649"/>
      <c r="M159" s="1649"/>
      <c r="O159" s="1168"/>
      <c r="P159" s="1644"/>
      <c r="Q159" s="1644"/>
      <c r="R159" s="1168"/>
      <c r="S159" s="1168"/>
      <c r="T159" s="1168"/>
      <c r="U159" s="1168"/>
      <c r="V159" s="1644"/>
      <c r="W159" s="1168"/>
      <c r="X159" s="1168"/>
      <c r="Y159" s="552"/>
      <c r="Z159" s="1168"/>
      <c r="AA159" s="1168"/>
      <c r="AB159" s="1168"/>
      <c r="AC159" s="1168"/>
      <c r="AD159" s="1168"/>
      <c r="AE159" s="1640"/>
      <c r="AF159" s="574"/>
      <c r="AG159" s="574"/>
      <c r="AH159" s="574"/>
      <c r="AI159" s="574"/>
      <c r="AJ159" s="1649">
        <v>11</v>
      </c>
    </row>
    <row s="1649" customFormat="1" customHeight="1" ht="11.549999999999999">
      <c r="A160" s="995"/>
      <c r="B160" s="1644"/>
      <c r="C160" s="1644"/>
      <c r="D160" s="359"/>
      <c r="J160" s="1649"/>
      <c r="K160" s="1649"/>
      <c r="L160" s="1649"/>
      <c r="M160" s="1649"/>
      <c r="O160" s="1168"/>
      <c r="P160" s="1644"/>
      <c r="Q160" s="1644"/>
      <c r="R160" s="1168"/>
      <c r="S160" s="1168"/>
      <c r="T160" s="1168"/>
      <c r="U160" s="1168"/>
      <c r="V160" s="1644"/>
      <c r="W160" s="1168"/>
      <c r="X160" s="1168"/>
      <c r="Y160" s="552"/>
      <c r="Z160" s="1168"/>
      <c r="AA160" s="1168"/>
      <c r="AB160" s="1168"/>
      <c r="AC160" s="1168"/>
      <c r="AD160" s="1168"/>
      <c r="AE160" s="1640"/>
      <c r="AF160" s="574"/>
      <c r="AG160" s="574"/>
      <c r="AH160" s="574"/>
      <c r="AI160" s="574"/>
      <c r="AJ160" s="1649">
        <v>11</v>
      </c>
    </row>
    <row s="1649" customFormat="1" customHeight="1" ht="11.549999999999999">
      <c r="A161" s="995"/>
      <c r="B161" s="1644"/>
      <c r="C161" s="1644"/>
      <c r="D161" s="359"/>
      <c r="J161" s="1649"/>
      <c r="K161" s="1649"/>
      <c r="L161" s="1649"/>
      <c r="M161" s="1649"/>
      <c r="O161" s="1168"/>
      <c r="P161" s="1644"/>
      <c r="Q161" s="1644"/>
      <c r="R161" s="1168"/>
      <c r="S161" s="1168"/>
      <c r="T161" s="1168"/>
      <c r="U161" s="1168"/>
      <c r="V161" s="1644"/>
      <c r="W161" s="1168"/>
      <c r="X161" s="1168"/>
      <c r="Y161" s="552"/>
      <c r="Z161" s="1168"/>
      <c r="AA161" s="1168"/>
      <c r="AB161" s="1168"/>
      <c r="AC161" s="1168"/>
      <c r="AD161" s="1168"/>
      <c r="AE161" s="1640"/>
      <c r="AF161" s="574"/>
      <c r="AG161" s="574"/>
      <c r="AH161" s="574"/>
      <c r="AI161" s="574"/>
      <c r="AJ161" s="1649">
        <v>11</v>
      </c>
    </row>
    <row s="1649" customFormat="1" customHeight="1" ht="11.549999999999999">
      <c r="A162" s="995"/>
      <c r="B162" s="1644"/>
      <c r="C162" s="1644"/>
      <c r="D162" s="359"/>
      <c r="J162" s="1649"/>
      <c r="K162" s="1649"/>
      <c r="L162" s="1649"/>
      <c r="M162" s="1649"/>
      <c r="O162" s="1168"/>
      <c r="P162" s="1644"/>
      <c r="Q162" s="1644"/>
      <c r="R162" s="1168"/>
      <c r="S162" s="1168"/>
      <c r="T162" s="1168"/>
      <c r="U162" s="1168"/>
      <c r="V162" s="1644"/>
      <c r="W162" s="1168"/>
      <c r="X162" s="1168"/>
      <c r="Y162" s="552"/>
      <c r="Z162" s="1168"/>
      <c r="AA162" s="1168"/>
      <c r="AB162" s="1168"/>
      <c r="AC162" s="1168"/>
      <c r="AD162" s="1168"/>
      <c r="AE162" s="1640"/>
      <c r="AF162" s="574"/>
      <c r="AG162" s="574"/>
      <c r="AH162" s="574"/>
      <c r="AI162" s="574"/>
      <c r="AJ162" s="1649">
        <v>11</v>
      </c>
    </row>
    <row s="1649" customFormat="1" customHeight="1" ht="11.549999999999999">
      <c r="A163" s="995"/>
      <c r="B163" s="1644"/>
      <c r="C163" s="1644"/>
      <c r="D163" s="359"/>
      <c r="J163" s="1649"/>
      <c r="K163" s="1649"/>
      <c r="L163" s="1649"/>
      <c r="M163" s="1649"/>
      <c r="O163" s="1168"/>
      <c r="P163" s="1644"/>
      <c r="Q163" s="1644"/>
      <c r="R163" s="1168"/>
      <c r="S163" s="1168"/>
      <c r="T163" s="1168"/>
      <c r="U163" s="1168"/>
      <c r="V163" s="1644"/>
      <c r="W163" s="1168"/>
      <c r="X163" s="1168"/>
      <c r="Y163" s="552"/>
      <c r="Z163" s="1168"/>
      <c r="AA163" s="1168"/>
      <c r="AB163" s="1168"/>
      <c r="AC163" s="1168"/>
      <c r="AD163" s="1168"/>
      <c r="AE163" s="1640"/>
      <c r="AF163" s="574"/>
      <c r="AG163" s="574"/>
      <c r="AH163" s="574"/>
      <c r="AI163" s="574"/>
      <c r="AJ163" s="1649">
        <v>11</v>
      </c>
    </row>
    <row s="1649" customFormat="1" customHeight="1" ht="11.549999999999999">
      <c r="A164" s="995"/>
      <c r="B164" s="1644"/>
      <c r="C164" s="1644"/>
      <c r="D164" s="359"/>
      <c r="J164" s="1649"/>
      <c r="K164" s="1649"/>
      <c r="L164" s="1649"/>
      <c r="M164" s="1649"/>
      <c r="O164" s="1168"/>
      <c r="P164" s="1644"/>
      <c r="Q164" s="1644"/>
      <c r="R164" s="1168"/>
      <c r="S164" s="1168"/>
      <c r="T164" s="1168"/>
      <c r="U164" s="1168"/>
      <c r="V164" s="1644"/>
      <c r="W164" s="1168"/>
      <c r="X164" s="1168"/>
      <c r="Y164" s="552"/>
      <c r="Z164" s="1168"/>
      <c r="AA164" s="1168"/>
      <c r="AB164" s="1168"/>
      <c r="AC164" s="1168"/>
      <c r="AD164" s="1168"/>
      <c r="AE164" s="1640"/>
      <c r="AF164" s="574"/>
      <c r="AG164" s="574"/>
      <c r="AH164" s="574"/>
      <c r="AI164" s="574"/>
      <c r="AJ164" s="1649">
        <v>11</v>
      </c>
    </row>
    <row s="1649" customFormat="1" customHeight="1" ht="11.549999999999999">
      <c r="A165" s="995"/>
      <c r="B165" s="1644"/>
      <c r="C165" s="1644"/>
      <c r="D165" s="359"/>
      <c r="J165" s="1649"/>
      <c r="K165" s="1649"/>
      <c r="L165" s="1649"/>
      <c r="M165" s="1649"/>
      <c r="O165" s="1168"/>
      <c r="P165" s="1644"/>
      <c r="Q165" s="1644"/>
      <c r="R165" s="1168"/>
      <c r="S165" s="1168"/>
      <c r="T165" s="1168"/>
      <c r="U165" s="1168"/>
      <c r="V165" s="1644"/>
      <c r="W165" s="1168"/>
      <c r="X165" s="1168"/>
      <c r="Y165" s="552"/>
      <c r="Z165" s="1168"/>
      <c r="AA165" s="1168"/>
      <c r="AB165" s="1168"/>
      <c r="AC165" s="1168"/>
      <c r="AD165" s="1168"/>
      <c r="AE165" s="1640"/>
      <c r="AF165" s="574"/>
      <c r="AG165" s="574"/>
      <c r="AH165" s="574"/>
      <c r="AI165" s="574"/>
      <c r="AJ165" s="1649">
        <v>11</v>
      </c>
    </row>
    <row s="1649" customFormat="1" customHeight="1" ht="11.549999999999999">
      <c r="A166" s="995"/>
      <c r="B166" s="1644"/>
      <c r="C166" s="1644"/>
      <c r="D166" s="359"/>
      <c r="J166" s="1649"/>
      <c r="K166" s="1649"/>
      <c r="L166" s="1649"/>
      <c r="M166" s="1649"/>
      <c r="O166" s="1168"/>
      <c r="P166" s="1644"/>
      <c r="Q166" s="1644"/>
      <c r="R166" s="1168"/>
      <c r="S166" s="1168"/>
      <c r="T166" s="1168"/>
      <c r="U166" s="1168"/>
      <c r="V166" s="1644"/>
      <c r="W166" s="1168"/>
      <c r="X166" s="1168"/>
      <c r="Y166" s="552"/>
      <c r="Z166" s="1168"/>
      <c r="AA166" s="1168"/>
      <c r="AB166" s="1168"/>
      <c r="AC166" s="1168"/>
      <c r="AD166" s="1168"/>
      <c r="AE166" s="1640"/>
      <c r="AF166" s="574"/>
      <c r="AG166" s="574"/>
      <c r="AH166" s="574"/>
      <c r="AI166" s="574"/>
      <c r="AJ166" s="1649">
        <v>11</v>
      </c>
    </row>
    <row s="1649" customFormat="1" customHeight="1" ht="11.549999999999999">
      <c r="A167" s="995"/>
      <c r="B167" s="1644"/>
      <c r="C167" s="1644"/>
      <c r="D167" s="359"/>
      <c r="J167" s="1649"/>
      <c r="K167" s="1649"/>
      <c r="L167" s="1649"/>
      <c r="M167" s="1649"/>
      <c r="O167" s="1168"/>
      <c r="P167" s="1644"/>
      <c r="Q167" s="1644"/>
      <c r="R167" s="1168"/>
      <c r="S167" s="1168"/>
      <c r="T167" s="1168"/>
      <c r="U167" s="1168"/>
      <c r="V167" s="1644"/>
      <c r="W167" s="1168"/>
      <c r="X167" s="1168"/>
      <c r="Y167" s="552"/>
      <c r="Z167" s="1168"/>
      <c r="AA167" s="1168"/>
      <c r="AB167" s="1168"/>
      <c r="AC167" s="1168"/>
      <c r="AD167" s="1168"/>
      <c r="AE167" s="1640"/>
      <c r="AF167" s="574"/>
      <c r="AG167" s="574"/>
      <c r="AH167" s="574"/>
      <c r="AI167" s="574"/>
      <c r="AJ167" s="1649">
        <v>11</v>
      </c>
    </row>
    <row s="1649" customFormat="1" customHeight="1" ht="11.549999999999999">
      <c r="A168" s="995"/>
      <c r="B168" s="1644"/>
      <c r="C168" s="1644"/>
      <c r="D168" s="359"/>
      <c r="J168" s="1649"/>
      <c r="K168" s="1649"/>
      <c r="L168" s="1649"/>
      <c r="M168" s="1649"/>
      <c r="O168" s="1168"/>
      <c r="P168" s="1644"/>
      <c r="Q168" s="1644"/>
      <c r="R168" s="1168"/>
      <c r="S168" s="1168"/>
      <c r="T168" s="1168"/>
      <c r="U168" s="1168"/>
      <c r="V168" s="1644"/>
      <c r="W168" s="1168"/>
      <c r="X168" s="1168"/>
      <c r="Y168" s="552"/>
      <c r="Z168" s="1168"/>
      <c r="AA168" s="1168"/>
      <c r="AB168" s="1168"/>
      <c r="AC168" s="1168"/>
      <c r="AD168" s="1168"/>
      <c r="AE168" s="1640"/>
      <c r="AF168" s="574"/>
      <c r="AG168" s="574"/>
      <c r="AH168" s="574"/>
      <c r="AI168" s="574"/>
      <c r="AJ168" s="1649">
        <v>11</v>
      </c>
    </row>
    <row s="1649" customFormat="1" customHeight="1" ht="11.549999999999999">
      <c r="A169" s="995"/>
      <c r="B169" s="1644"/>
      <c r="C169" s="1644"/>
      <c r="D169" s="359"/>
      <c r="J169" s="1649"/>
      <c r="K169" s="1649"/>
      <c r="L169" s="1649"/>
      <c r="M169" s="1649"/>
      <c r="O169" s="1168"/>
      <c r="P169" s="1644"/>
      <c r="Q169" s="1644"/>
      <c r="R169" s="1168"/>
      <c r="S169" s="1168"/>
      <c r="T169" s="1168"/>
      <c r="U169" s="1168"/>
      <c r="V169" s="1644"/>
      <c r="W169" s="1168"/>
      <c r="X169" s="1168"/>
      <c r="Y169" s="552"/>
      <c r="Z169" s="1168"/>
      <c r="AA169" s="1168"/>
      <c r="AB169" s="1168"/>
      <c r="AC169" s="1168"/>
      <c r="AD169" s="1168"/>
      <c r="AE169" s="1640"/>
      <c r="AF169" s="574"/>
      <c r="AG169" s="574"/>
      <c r="AH169" s="574"/>
      <c r="AI169" s="574"/>
      <c r="AJ169" s="1649">
        <v>11</v>
      </c>
    </row>
    <row s="1649" customFormat="1" customHeight="1" ht="11.549999999999999">
      <c r="A170" s="995"/>
      <c r="B170" s="1644"/>
      <c r="C170" s="1644"/>
      <c r="D170" s="359"/>
      <c r="J170" s="1649"/>
      <c r="K170" s="1649"/>
      <c r="L170" s="1649"/>
      <c r="M170" s="1649"/>
      <c r="O170" s="1168"/>
      <c r="P170" s="1644"/>
      <c r="Q170" s="1644"/>
      <c r="R170" s="1168"/>
      <c r="S170" s="1168"/>
      <c r="T170" s="1168"/>
      <c r="U170" s="1168"/>
      <c r="V170" s="1644"/>
      <c r="W170" s="1168"/>
      <c r="X170" s="1168"/>
      <c r="Y170" s="552"/>
      <c r="Z170" s="1168"/>
      <c r="AA170" s="1168"/>
      <c r="AB170" s="1168"/>
      <c r="AC170" s="1168"/>
      <c r="AD170" s="1168"/>
      <c r="AE170" s="1640"/>
      <c r="AF170" s="574"/>
      <c r="AG170" s="574"/>
      <c r="AH170" s="574"/>
      <c r="AI170" s="574"/>
      <c r="AJ170" s="1649">
        <v>11</v>
      </c>
    </row>
    <row s="1649" customFormat="1" customHeight="1" ht="11.549999999999999">
      <c r="A171" s="995"/>
      <c r="B171" s="1644"/>
      <c r="C171" s="1644"/>
      <c r="D171" s="359"/>
      <c r="J171" s="1649"/>
      <c r="K171" s="1649"/>
      <c r="L171" s="1649"/>
      <c r="M171" s="1649"/>
      <c r="O171" s="1168"/>
      <c r="P171" s="1644"/>
      <c r="Q171" s="1644"/>
      <c r="R171" s="1168"/>
      <c r="S171" s="1168"/>
      <c r="T171" s="1168"/>
      <c r="U171" s="1168"/>
      <c r="V171" s="1644"/>
      <c r="W171" s="1168"/>
      <c r="X171" s="1168"/>
      <c r="Y171" s="552"/>
      <c r="Z171" s="1168"/>
      <c r="AA171" s="1168"/>
      <c r="AB171" s="1168"/>
      <c r="AC171" s="1168"/>
      <c r="AD171" s="1168"/>
      <c r="AE171" s="1640"/>
      <c r="AF171" s="574"/>
      <c r="AG171" s="574"/>
      <c r="AH171" s="574"/>
      <c r="AI171" s="574"/>
      <c r="AJ171" s="1649">
        <v>11</v>
      </c>
    </row>
    <row s="1649" customFormat="1" customHeight="1" ht="11.549999999999999">
      <c r="A172" s="995"/>
      <c r="B172" s="1644"/>
      <c r="C172" s="1644"/>
      <c r="D172" s="359"/>
      <c r="J172" s="1649"/>
      <c r="K172" s="1649"/>
      <c r="L172" s="1649"/>
      <c r="M172" s="1649"/>
      <c r="O172" s="1168"/>
      <c r="P172" s="1644"/>
      <c r="Q172" s="1644"/>
      <c r="R172" s="1168"/>
      <c r="S172" s="1168"/>
      <c r="T172" s="1168"/>
      <c r="U172" s="1168"/>
      <c r="V172" s="1644"/>
      <c r="W172" s="1168"/>
      <c r="X172" s="1168"/>
      <c r="Y172" s="552"/>
      <c r="Z172" s="1168"/>
      <c r="AA172" s="1168"/>
      <c r="AB172" s="1168"/>
      <c r="AC172" s="1168"/>
      <c r="AD172" s="1168"/>
      <c r="AE172" s="1640"/>
      <c r="AF172" s="574"/>
      <c r="AG172" s="574"/>
      <c r="AH172" s="574"/>
      <c r="AI172" s="574"/>
      <c r="AJ172" s="1649">
        <v>11</v>
      </c>
    </row>
    <row s="1649" customFormat="1" customHeight="1" ht="11.549999999999999">
      <c r="A173" s="995"/>
      <c r="B173" s="1644"/>
      <c r="C173" s="1644"/>
      <c r="D173" s="359"/>
      <c r="J173" s="1649"/>
      <c r="K173" s="1649"/>
      <c r="L173" s="1649"/>
      <c r="M173" s="1649"/>
      <c r="O173" s="1168"/>
      <c r="P173" s="1644"/>
      <c r="Q173" s="1644"/>
      <c r="R173" s="1168"/>
      <c r="S173" s="1168"/>
      <c r="T173" s="1168"/>
      <c r="U173" s="1168"/>
      <c r="V173" s="1644"/>
      <c r="W173" s="1168"/>
      <c r="X173" s="1168"/>
      <c r="Y173" s="552"/>
      <c r="Z173" s="1168"/>
      <c r="AA173" s="1168"/>
      <c r="AB173" s="1168"/>
      <c r="AC173" s="1168"/>
      <c r="AD173" s="1168"/>
      <c r="AE173" s="1640"/>
      <c r="AF173" s="574"/>
      <c r="AG173" s="574"/>
      <c r="AH173" s="574"/>
      <c r="AI173" s="574"/>
      <c r="AJ173" s="1649">
        <v>11</v>
      </c>
    </row>
    <row s="1649" customFormat="1" customHeight="1" ht="11.549999999999999">
      <c r="A174" s="995"/>
      <c r="B174" s="1644"/>
      <c r="C174" s="1644"/>
      <c r="D174" s="359"/>
      <c r="J174" s="1649"/>
      <c r="K174" s="1649"/>
      <c r="L174" s="1649"/>
      <c r="M174" s="1649"/>
      <c r="O174" s="1168"/>
      <c r="P174" s="1644"/>
      <c r="Q174" s="1644"/>
      <c r="R174" s="1168"/>
      <c r="S174" s="1168"/>
      <c r="T174" s="1168"/>
      <c r="U174" s="1168"/>
      <c r="V174" s="1644"/>
      <c r="W174" s="1168"/>
      <c r="X174" s="1168"/>
      <c r="Y174" s="552"/>
      <c r="Z174" s="1168"/>
      <c r="AA174" s="1168"/>
      <c r="AB174" s="1168"/>
      <c r="AC174" s="1168"/>
      <c r="AD174" s="1168"/>
      <c r="AE174" s="1640"/>
      <c r="AF174" s="574"/>
      <c r="AG174" s="574"/>
      <c r="AH174" s="574"/>
      <c r="AI174" s="574"/>
      <c r="AJ174" s="1649">
        <v>11</v>
      </c>
    </row>
    <row s="1649" customFormat="1" customHeight="1" ht="11.549999999999999">
      <c r="A175" s="995"/>
      <c r="B175" s="1644"/>
      <c r="C175" s="1644"/>
      <c r="D175" s="359"/>
      <c r="J175" s="1649"/>
      <c r="K175" s="1649"/>
      <c r="L175" s="1649"/>
      <c r="M175" s="1649"/>
      <c r="O175" s="1168"/>
      <c r="P175" s="1644"/>
      <c r="Q175" s="1644"/>
      <c r="R175" s="1168"/>
      <c r="S175" s="1168"/>
      <c r="T175" s="1168"/>
      <c r="U175" s="1168"/>
      <c r="V175" s="1644"/>
      <c r="W175" s="1168"/>
      <c r="X175" s="1168"/>
      <c r="Y175" s="552"/>
      <c r="Z175" s="1168"/>
      <c r="AA175" s="1168"/>
      <c r="AB175" s="1168"/>
      <c r="AC175" s="1168"/>
      <c r="AD175" s="1168"/>
      <c r="AE175" s="1640"/>
      <c r="AF175" s="574"/>
      <c r="AG175" s="574"/>
      <c r="AH175" s="574"/>
      <c r="AI175" s="574"/>
      <c r="AJ175" s="1649">
        <v>11</v>
      </c>
    </row>
    <row s="1649" customFormat="1" customHeight="1" ht="11.549999999999999">
      <c r="A176" s="995"/>
      <c r="B176" s="1644"/>
      <c r="C176" s="1644"/>
      <c r="D176" s="359"/>
      <c r="J176" s="1649"/>
      <c r="K176" s="1649"/>
      <c r="L176" s="1649"/>
      <c r="M176" s="1649"/>
      <c r="O176" s="1168"/>
      <c r="P176" s="1644"/>
      <c r="Q176" s="1644"/>
      <c r="R176" s="1168"/>
      <c r="S176" s="1168"/>
      <c r="T176" s="1168"/>
      <c r="U176" s="1168"/>
      <c r="V176" s="1644"/>
      <c r="W176" s="1168"/>
      <c r="X176" s="1168"/>
      <c r="Y176" s="552"/>
      <c r="Z176" s="1168"/>
      <c r="AA176" s="1168"/>
      <c r="AB176" s="1168"/>
      <c r="AC176" s="1168"/>
      <c r="AD176" s="1168"/>
      <c r="AE176" s="1640"/>
      <c r="AF176" s="574"/>
      <c r="AG176" s="574"/>
      <c r="AH176" s="574"/>
      <c r="AI176" s="574"/>
      <c r="AJ176" s="1649">
        <v>11</v>
      </c>
    </row>
    <row s="1649" customFormat="1" customHeight="1" ht="11.549999999999999">
      <c r="A177" s="995"/>
      <c r="B177" s="1644"/>
      <c r="C177" s="1644"/>
      <c r="D177" s="359"/>
      <c r="J177" s="1649"/>
      <c r="K177" s="1649"/>
      <c r="L177" s="1649"/>
      <c r="M177" s="1649"/>
      <c r="O177" s="1168"/>
      <c r="P177" s="1644"/>
      <c r="Q177" s="1644"/>
      <c r="R177" s="1168"/>
      <c r="S177" s="1168"/>
      <c r="T177" s="1168"/>
      <c r="U177" s="1168"/>
      <c r="V177" s="1644"/>
      <c r="W177" s="1168"/>
      <c r="X177" s="1168"/>
      <c r="Y177" s="552"/>
      <c r="Z177" s="1168"/>
      <c r="AA177" s="1168"/>
      <c r="AB177" s="1168"/>
      <c r="AC177" s="1168"/>
      <c r="AD177" s="1168"/>
      <c r="AE177" s="1640"/>
      <c r="AF177" s="574"/>
      <c r="AG177" s="574"/>
      <c r="AH177" s="574"/>
      <c r="AI177" s="574"/>
      <c r="AJ177" s="1649">
        <v>11</v>
      </c>
    </row>
    <row s="1649" customFormat="1" customHeight="1" ht="11.549999999999999">
      <c r="A178" s="995"/>
      <c r="B178" s="1644"/>
      <c r="C178" s="1644"/>
      <c r="D178" s="359"/>
      <c r="J178" s="1649"/>
      <c r="K178" s="1649"/>
      <c r="L178" s="1649"/>
      <c r="M178" s="1649"/>
      <c r="O178" s="1168"/>
      <c r="P178" s="1644"/>
      <c r="Q178" s="1644"/>
      <c r="R178" s="1168"/>
      <c r="S178" s="1168"/>
      <c r="T178" s="1168"/>
      <c r="U178" s="1168"/>
      <c r="V178" s="1644"/>
      <c r="W178" s="1168"/>
      <c r="X178" s="1168"/>
      <c r="Y178" s="552"/>
      <c r="Z178" s="1168"/>
      <c r="AA178" s="1168"/>
      <c r="AB178" s="1168"/>
      <c r="AC178" s="1168"/>
      <c r="AD178" s="1168"/>
      <c r="AE178" s="1640"/>
      <c r="AF178" s="574"/>
      <c r="AG178" s="574"/>
      <c r="AH178" s="574"/>
      <c r="AI178" s="574"/>
      <c r="AJ178" s="1649">
        <v>11</v>
      </c>
    </row>
    <row s="1649" customFormat="1" customHeight="1" ht="11.549999999999999">
      <c r="A179" s="995"/>
      <c r="B179" s="1644"/>
      <c r="C179" s="1644"/>
      <c r="D179" s="359"/>
      <c r="J179" s="1649"/>
      <c r="K179" s="1649"/>
      <c r="L179" s="1649"/>
      <c r="M179" s="1649"/>
      <c r="O179" s="1168"/>
      <c r="P179" s="1644"/>
      <c r="Q179" s="1644"/>
      <c r="R179" s="1168"/>
      <c r="S179" s="1168"/>
      <c r="T179" s="1168"/>
      <c r="U179" s="1168"/>
      <c r="V179" s="1644"/>
      <c r="W179" s="1168"/>
      <c r="X179" s="1168"/>
      <c r="Y179" s="552"/>
      <c r="Z179" s="1168"/>
      <c r="AA179" s="1168"/>
      <c r="AB179" s="1168"/>
      <c r="AC179" s="1168"/>
      <c r="AD179" s="1168"/>
      <c r="AE179" s="1640"/>
      <c r="AF179" s="574"/>
      <c r="AG179" s="574"/>
      <c r="AH179" s="574"/>
      <c r="AI179" s="574"/>
      <c r="AJ179" s="1649">
        <v>11</v>
      </c>
    </row>
    <row s="1649" customFormat="1" customHeight="1" ht="11.549999999999999">
      <c r="A180" s="995"/>
      <c r="B180" s="1644"/>
      <c r="C180" s="1644"/>
      <c r="D180" s="359"/>
      <c r="J180" s="1649"/>
      <c r="K180" s="1649"/>
      <c r="L180" s="1649"/>
      <c r="M180" s="1649"/>
      <c r="O180" s="1168"/>
      <c r="P180" s="1644"/>
      <c r="Q180" s="1644"/>
      <c r="R180" s="1168"/>
      <c r="S180" s="1168"/>
      <c r="T180" s="1168"/>
      <c r="U180" s="1168"/>
      <c r="V180" s="1644"/>
      <c r="W180" s="1168"/>
      <c r="X180" s="1168"/>
      <c r="Y180" s="552"/>
      <c r="Z180" s="1168"/>
      <c r="AA180" s="1168"/>
      <c r="AB180" s="1168"/>
      <c r="AC180" s="1168"/>
      <c r="AD180" s="1168"/>
      <c r="AE180" s="1640"/>
      <c r="AF180" s="574"/>
      <c r="AG180" s="574"/>
      <c r="AH180" s="574"/>
      <c r="AI180" s="574"/>
      <c r="AJ180" s="1649">
        <v>11</v>
      </c>
    </row>
    <row s="1649" customFormat="1" customHeight="1" ht="11.549999999999999">
      <c r="A181" s="995"/>
      <c r="B181" s="1644"/>
      <c r="C181" s="1644"/>
      <c r="D181" s="359"/>
      <c r="J181" s="1649"/>
      <c r="K181" s="1649"/>
      <c r="L181" s="1649"/>
      <c r="M181" s="1649"/>
      <c r="O181" s="1168"/>
      <c r="P181" s="1644"/>
      <c r="Q181" s="1644"/>
      <c r="R181" s="1168"/>
      <c r="S181" s="1168"/>
      <c r="T181" s="1168"/>
      <c r="U181" s="1168"/>
      <c r="V181" s="1644"/>
      <c r="W181" s="1168"/>
      <c r="X181" s="1168"/>
      <c r="Y181" s="552"/>
      <c r="Z181" s="1168"/>
      <c r="AA181" s="1168"/>
      <c r="AB181" s="1168"/>
      <c r="AC181" s="1168"/>
      <c r="AD181" s="1168"/>
      <c r="AE181" s="1640"/>
      <c r="AF181" s="574"/>
      <c r="AG181" s="574"/>
      <c r="AH181" s="574"/>
      <c r="AI181" s="574"/>
      <c r="AJ181" s="1649">
        <v>11</v>
      </c>
    </row>
    <row s="1649" customFormat="1" customHeight="1" ht="11.549999999999999">
      <c r="A182" s="995"/>
      <c r="B182" s="1644"/>
      <c r="C182" s="1644"/>
      <c r="D182" s="359"/>
      <c r="J182" s="1649"/>
      <c r="K182" s="1649"/>
      <c r="L182" s="1649"/>
      <c r="M182" s="1649"/>
      <c r="O182" s="1168"/>
      <c r="P182" s="1644"/>
      <c r="Q182" s="1644"/>
      <c r="R182" s="1168"/>
      <c r="S182" s="1168"/>
      <c r="T182" s="1168"/>
      <c r="U182" s="1168"/>
      <c r="V182" s="1644"/>
      <c r="W182" s="1168"/>
      <c r="X182" s="1168"/>
      <c r="Y182" s="552"/>
      <c r="Z182" s="1168"/>
      <c r="AA182" s="1168"/>
      <c r="AB182" s="1168"/>
      <c r="AC182" s="1168"/>
      <c r="AD182" s="1168"/>
      <c r="AE182" s="1640"/>
      <c r="AF182" s="574"/>
      <c r="AG182" s="574"/>
      <c r="AH182" s="574"/>
      <c r="AI182" s="574"/>
      <c r="AJ182" s="1649">
        <v>11</v>
      </c>
    </row>
    <row s="1649" customFormat="1" customHeight="1" ht="11.549999999999999">
      <c r="A183" s="995"/>
      <c r="B183" s="1644"/>
      <c r="C183" s="1644"/>
      <c r="D183" s="359"/>
      <c r="J183" s="1649"/>
      <c r="K183" s="1649"/>
      <c r="L183" s="1649"/>
      <c r="M183" s="1649"/>
      <c r="O183" s="1168"/>
      <c r="P183" s="1644"/>
      <c r="Q183" s="1644"/>
      <c r="R183" s="1168"/>
      <c r="S183" s="1168"/>
      <c r="T183" s="1168"/>
      <c r="U183" s="1168"/>
      <c r="V183" s="1644"/>
      <c r="W183" s="1168"/>
      <c r="X183" s="1168"/>
      <c r="Y183" s="552"/>
      <c r="Z183" s="1168"/>
      <c r="AA183" s="1168"/>
      <c r="AB183" s="1168"/>
      <c r="AC183" s="1168"/>
      <c r="AD183" s="1168"/>
      <c r="AE183" s="1640"/>
      <c r="AF183" s="574"/>
      <c r="AG183" s="574"/>
      <c r="AH183" s="574"/>
      <c r="AI183" s="574"/>
      <c r="AJ183" s="1649">
        <v>11</v>
      </c>
    </row>
    <row s="1649" customFormat="1" customHeight="1" ht="11.549999999999999">
      <c r="A184" s="995"/>
      <c r="B184" s="1644"/>
      <c r="C184" s="1644"/>
      <c r="D184" s="359"/>
      <c r="J184" s="1649"/>
      <c r="K184" s="1649"/>
      <c r="L184" s="1649"/>
      <c r="M184" s="1649"/>
      <c r="O184" s="1168"/>
      <c r="P184" s="1644"/>
      <c r="Q184" s="1644"/>
      <c r="R184" s="1168"/>
      <c r="S184" s="1168"/>
      <c r="T184" s="1168"/>
      <c r="U184" s="1168"/>
      <c r="V184" s="1644"/>
      <c r="W184" s="1168"/>
      <c r="X184" s="1168"/>
      <c r="Y184" s="552"/>
      <c r="Z184" s="1168"/>
      <c r="AA184" s="1168"/>
      <c r="AB184" s="1168"/>
      <c r="AC184" s="1168"/>
      <c r="AD184" s="1168"/>
      <c r="AE184" s="1640"/>
      <c r="AF184" s="574"/>
      <c r="AG184" s="574"/>
      <c r="AH184" s="574"/>
      <c r="AI184" s="574"/>
      <c r="AJ184" s="1649">
        <v>11</v>
      </c>
    </row>
    <row s="1649" customFormat="1" customHeight="1" ht="11.549999999999999">
      <c r="A185" s="995"/>
      <c r="B185" s="1644"/>
      <c r="C185" s="1644"/>
      <c r="D185" s="359"/>
      <c r="J185" s="1649"/>
      <c r="K185" s="1649"/>
      <c r="L185" s="1649"/>
      <c r="M185" s="1649"/>
      <c r="O185" s="1168"/>
      <c r="P185" s="1644"/>
      <c r="Q185" s="1644"/>
      <c r="R185" s="1168"/>
      <c r="S185" s="1168"/>
      <c r="T185" s="1168"/>
      <c r="U185" s="1168"/>
      <c r="V185" s="1644"/>
      <c r="W185" s="1168"/>
      <c r="X185" s="1168"/>
      <c r="Y185" s="552"/>
      <c r="Z185" s="1168"/>
      <c r="AA185" s="1168"/>
      <c r="AB185" s="1168"/>
      <c r="AC185" s="1168"/>
      <c r="AD185" s="1168"/>
      <c r="AE185" s="1640"/>
      <c r="AF185" s="574"/>
      <c r="AG185" s="574"/>
      <c r="AH185" s="574"/>
      <c r="AI185" s="574"/>
      <c r="AJ185" s="1649">
        <v>11</v>
      </c>
    </row>
    <row s="1649" customFormat="1" customHeight="1" ht="11.549999999999999">
      <c r="A186" s="995"/>
      <c r="B186" s="1644"/>
      <c r="C186" s="1644"/>
      <c r="D186" s="359"/>
      <c r="J186" s="1649"/>
      <c r="K186" s="1649"/>
      <c r="L186" s="1649"/>
      <c r="M186" s="1649"/>
      <c r="O186" s="1168"/>
      <c r="P186" s="1644"/>
      <c r="Q186" s="1644"/>
      <c r="R186" s="1168"/>
      <c r="S186" s="1168"/>
      <c r="T186" s="1168"/>
      <c r="U186" s="1168"/>
      <c r="V186" s="1644"/>
      <c r="W186" s="1168"/>
      <c r="X186" s="1168"/>
      <c r="Y186" s="552"/>
      <c r="Z186" s="1168"/>
      <c r="AA186" s="1168"/>
      <c r="AB186" s="1168"/>
      <c r="AC186" s="1168"/>
      <c r="AD186" s="1168"/>
      <c r="AE186" s="1640"/>
      <c r="AF186" s="574"/>
      <c r="AG186" s="574"/>
      <c r="AH186" s="574"/>
      <c r="AI186" s="574"/>
      <c r="AJ186" s="1649">
        <v>11</v>
      </c>
    </row>
    <row s="1649" customFormat="1" customHeight="1" ht="11.549999999999999">
      <c r="A187" s="995"/>
      <c r="B187" s="1644"/>
      <c r="C187" s="1644"/>
      <c r="D187" s="359"/>
      <c r="J187" s="1649"/>
      <c r="K187" s="1649"/>
      <c r="L187" s="1649"/>
      <c r="M187" s="1649"/>
      <c r="O187" s="1168"/>
      <c r="P187" s="1644"/>
      <c r="Q187" s="1644"/>
      <c r="R187" s="1168"/>
      <c r="S187" s="1168"/>
      <c r="T187" s="1168"/>
      <c r="U187" s="1168"/>
      <c r="V187" s="1644"/>
      <c r="W187" s="1168"/>
      <c r="X187" s="1168"/>
      <c r="Y187" s="552"/>
      <c r="Z187" s="1168"/>
      <c r="AA187" s="1168"/>
      <c r="AB187" s="1168"/>
      <c r="AC187" s="1168"/>
      <c r="AD187" s="1168"/>
      <c r="AE187" s="1640"/>
      <c r="AF187" s="574"/>
      <c r="AG187" s="574"/>
      <c r="AH187" s="574"/>
      <c r="AI187" s="574"/>
      <c r="AJ187" s="1649">
        <v>11</v>
      </c>
    </row>
    <row s="1649" customFormat="1" customHeight="1" ht="11.549999999999999">
      <c r="A188" s="995"/>
      <c r="B188" s="1644"/>
      <c r="C188" s="1644"/>
      <c r="D188" s="359"/>
      <c r="J188" s="1649"/>
      <c r="K188" s="1649"/>
      <c r="L188" s="1649"/>
      <c r="M188" s="1649"/>
      <c r="O188" s="1168"/>
      <c r="P188" s="1644"/>
      <c r="Q188" s="1644"/>
      <c r="R188" s="1168"/>
      <c r="S188" s="1168"/>
      <c r="T188" s="1168"/>
      <c r="U188" s="1168"/>
      <c r="V188" s="1644"/>
      <c r="W188" s="1168"/>
      <c r="X188" s="1168"/>
      <c r="Y188" s="552"/>
      <c r="Z188" s="1168"/>
      <c r="AA188" s="1168"/>
      <c r="AB188" s="1168"/>
      <c r="AC188" s="1168"/>
      <c r="AD188" s="1168"/>
      <c r="AE188" s="1640"/>
      <c r="AF188" s="574"/>
      <c r="AG188" s="574"/>
      <c r="AH188" s="574"/>
      <c r="AI188" s="574"/>
      <c r="AJ188" s="1649">
        <v>11</v>
      </c>
    </row>
    <row s="1649" customFormat="1" customHeight="1" ht="11.549999999999999">
      <c r="A189" s="995"/>
      <c r="B189" s="1644"/>
      <c r="C189" s="1644"/>
      <c r="D189" s="359"/>
      <c r="J189" s="1649"/>
      <c r="K189" s="1649"/>
      <c r="L189" s="1649"/>
      <c r="M189" s="1649"/>
      <c r="O189" s="1168"/>
      <c r="P189" s="1644"/>
      <c r="Q189" s="1644"/>
      <c r="R189" s="1168"/>
      <c r="S189" s="1168"/>
      <c r="T189" s="1168"/>
      <c r="U189" s="1168"/>
      <c r="V189" s="1644"/>
      <c r="W189" s="1168"/>
      <c r="X189" s="1168"/>
      <c r="Y189" s="552"/>
      <c r="Z189" s="1168"/>
      <c r="AA189" s="1168"/>
      <c r="AB189" s="1168"/>
      <c r="AC189" s="1168"/>
      <c r="AD189" s="1168"/>
      <c r="AE189" s="1640"/>
      <c r="AF189" s="574"/>
      <c r="AG189" s="574"/>
      <c r="AH189" s="574"/>
      <c r="AI189" s="574"/>
      <c r="AJ189" s="1649">
        <v>11</v>
      </c>
    </row>
    <row s="1649" customFormat="1" customHeight="1" ht="11.549999999999999">
      <c r="A190" s="995"/>
      <c r="B190" s="1644"/>
      <c r="C190" s="1644"/>
      <c r="D190" s="359"/>
      <c r="J190" s="1649"/>
      <c r="K190" s="1649"/>
      <c r="L190" s="1649"/>
      <c r="M190" s="1649"/>
      <c r="O190" s="1168"/>
      <c r="P190" s="1644"/>
      <c r="Q190" s="1644"/>
      <c r="R190" s="1168"/>
      <c r="S190" s="1168"/>
      <c r="T190" s="1168"/>
      <c r="U190" s="1168"/>
      <c r="V190" s="1644"/>
      <c r="W190" s="1168"/>
      <c r="X190" s="1168"/>
      <c r="Y190" s="552"/>
      <c r="Z190" s="1168"/>
      <c r="AA190" s="1168"/>
      <c r="AB190" s="1168"/>
      <c r="AC190" s="1168"/>
      <c r="AD190" s="1168"/>
      <c r="AE190" s="1640"/>
      <c r="AF190" s="574"/>
      <c r="AG190" s="574"/>
      <c r="AH190" s="574"/>
      <c r="AI190" s="574"/>
      <c r="AJ190" s="1649">
        <v>11</v>
      </c>
    </row>
    <row s="1649" customFormat="1" customHeight="1" ht="11.549999999999999">
      <c r="A191" s="995"/>
      <c r="B191" s="1644"/>
      <c r="C191" s="1644"/>
      <c r="D191" s="359"/>
      <c r="J191" s="1649"/>
      <c r="K191" s="1649"/>
      <c r="L191" s="1649"/>
      <c r="M191" s="1649"/>
      <c r="O191" s="1168"/>
      <c r="P191" s="1644"/>
      <c r="Q191" s="1644"/>
      <c r="R191" s="1168"/>
      <c r="S191" s="1168"/>
      <c r="T191" s="1168"/>
      <c r="U191" s="1168"/>
      <c r="V191" s="1644"/>
      <c r="W191" s="1168"/>
      <c r="X191" s="1168"/>
      <c r="Y191" s="552"/>
      <c r="Z191" s="1168"/>
      <c r="AA191" s="1168"/>
      <c r="AB191" s="1168"/>
      <c r="AC191" s="1168"/>
      <c r="AD191" s="1168"/>
      <c r="AE191" s="1640"/>
      <c r="AF191" s="574"/>
      <c r="AG191" s="574"/>
      <c r="AH191" s="574"/>
      <c r="AI191" s="574"/>
      <c r="AJ191" s="1649">
        <v>11</v>
      </c>
    </row>
    <row s="1649" customFormat="1" customHeight="1" ht="11.549999999999999">
      <c r="A192" s="995"/>
      <c r="B192" s="1644"/>
      <c r="C192" s="1644"/>
      <c r="D192" s="359"/>
      <c r="J192" s="1649"/>
      <c r="K192" s="1649"/>
      <c r="L192" s="1649"/>
      <c r="M192" s="1649"/>
      <c r="O192" s="1168"/>
      <c r="P192" s="1644"/>
      <c r="Q192" s="1644"/>
      <c r="R192" s="1168"/>
      <c r="S192" s="1168"/>
      <c r="T192" s="1168"/>
      <c r="U192" s="1168"/>
      <c r="V192" s="1644"/>
      <c r="W192" s="1168"/>
      <c r="X192" s="1168"/>
      <c r="Y192" s="552"/>
      <c r="Z192" s="1168"/>
      <c r="AA192" s="1168"/>
      <c r="AB192" s="1168"/>
      <c r="AC192" s="1168"/>
      <c r="AD192" s="1168"/>
      <c r="AE192" s="1640"/>
      <c r="AF192" s="574"/>
      <c r="AG192" s="574"/>
      <c r="AH192" s="574"/>
      <c r="AI192" s="574"/>
      <c r="AJ192" s="1649">
        <v>11</v>
      </c>
    </row>
    <row s="1649" customFormat="1" customHeight="1" ht="11.549999999999999">
      <c r="A193" s="995"/>
      <c r="B193" s="1644"/>
      <c r="C193" s="1644"/>
      <c r="D193" s="359"/>
      <c r="J193" s="1649"/>
      <c r="K193" s="1649"/>
      <c r="L193" s="1649"/>
      <c r="M193" s="1649"/>
      <c r="O193" s="1168"/>
      <c r="P193" s="1644"/>
      <c r="Q193" s="1644"/>
      <c r="R193" s="1168"/>
      <c r="S193" s="1168"/>
      <c r="T193" s="1168"/>
      <c r="U193" s="1168"/>
      <c r="V193" s="1644"/>
      <c r="W193" s="1168"/>
      <c r="X193" s="1168"/>
      <c r="Y193" s="552"/>
      <c r="Z193" s="1168"/>
      <c r="AA193" s="1168"/>
      <c r="AB193" s="1168"/>
      <c r="AC193" s="1168"/>
      <c r="AD193" s="1168"/>
      <c r="AE193" s="1640"/>
      <c r="AF193" s="574"/>
      <c r="AG193" s="574"/>
      <c r="AH193" s="574"/>
      <c r="AI193" s="574"/>
      <c r="AJ193" s="1649">
        <v>11</v>
      </c>
    </row>
    <row s="1649" customFormat="1" customHeight="1" ht="11.549999999999999">
      <c r="A194" s="995"/>
      <c r="B194" s="1644"/>
      <c r="C194" s="1644"/>
      <c r="D194" s="359"/>
      <c r="J194" s="1649"/>
      <c r="K194" s="1649"/>
      <c r="L194" s="1649"/>
      <c r="M194" s="1649"/>
      <c r="O194" s="1168"/>
      <c r="P194" s="1644"/>
      <c r="Q194" s="1644"/>
      <c r="R194" s="1168"/>
      <c r="S194" s="1168"/>
      <c r="T194" s="1168"/>
      <c r="U194" s="1168"/>
      <c r="V194" s="1644"/>
      <c r="W194" s="1168"/>
      <c r="X194" s="1168"/>
      <c r="Y194" s="552"/>
      <c r="Z194" s="1168"/>
      <c r="AA194" s="1168"/>
      <c r="AB194" s="1168"/>
      <c r="AC194" s="1168"/>
      <c r="AD194" s="1168"/>
      <c r="AE194" s="1640"/>
      <c r="AF194" s="574"/>
      <c r="AG194" s="574"/>
      <c r="AH194" s="574"/>
      <c r="AI194" s="574"/>
      <c r="AJ194" s="1649">
        <v>11</v>
      </c>
    </row>
    <row s="1649" customFormat="1" customHeight="1" ht="11.549999999999999">
      <c r="A195" s="995"/>
      <c r="B195" s="1644"/>
      <c r="C195" s="1644"/>
      <c r="D195" s="359"/>
      <c r="J195" s="1649"/>
      <c r="K195" s="1649"/>
      <c r="L195" s="1649"/>
      <c r="M195" s="1649"/>
      <c r="O195" s="1168"/>
      <c r="P195" s="1644"/>
      <c r="Q195" s="1644"/>
      <c r="R195" s="1168"/>
      <c r="S195" s="1168"/>
      <c r="T195" s="1168"/>
      <c r="U195" s="1168"/>
      <c r="V195" s="1644"/>
      <c r="W195" s="1168"/>
      <c r="X195" s="1168"/>
      <c r="Y195" s="552"/>
      <c r="Z195" s="1168"/>
      <c r="AA195" s="1168"/>
      <c r="AB195" s="1168"/>
      <c r="AC195" s="1168"/>
      <c r="AD195" s="1168"/>
      <c r="AE195" s="1640"/>
      <c r="AF195" s="574"/>
      <c r="AG195" s="574"/>
      <c r="AH195" s="574"/>
      <c r="AI195" s="574"/>
      <c r="AJ195" s="1649">
        <v>11</v>
      </c>
    </row>
    <row s="1649" customFormat="1" customHeight="1" ht="11.549999999999999">
      <c r="A196" s="995"/>
      <c r="B196" s="1644"/>
      <c r="C196" s="1644"/>
      <c r="D196" s="359"/>
      <c r="J196" s="1649"/>
      <c r="K196" s="1649"/>
      <c r="L196" s="1649"/>
      <c r="M196" s="1649"/>
      <c r="O196" s="1168"/>
      <c r="P196" s="1644"/>
      <c r="Q196" s="1644"/>
      <c r="R196" s="1168"/>
      <c r="S196" s="1168"/>
      <c r="T196" s="1168"/>
      <c r="U196" s="1168"/>
      <c r="V196" s="1644"/>
      <c r="W196" s="1168"/>
      <c r="X196" s="1168"/>
      <c r="Y196" s="552"/>
      <c r="Z196" s="1168"/>
      <c r="AA196" s="1168"/>
      <c r="AB196" s="1168"/>
      <c r="AC196" s="1168"/>
      <c r="AD196" s="1168"/>
      <c r="AE196" s="1640"/>
      <c r="AF196" s="574"/>
      <c r="AG196" s="574"/>
      <c r="AH196" s="574"/>
      <c r="AI196" s="574"/>
      <c r="AJ196" s="1649">
        <v>11</v>
      </c>
    </row>
    <row s="1649" customFormat="1" customHeight="1" ht="11.549999999999999">
      <c r="A197" s="995"/>
      <c r="B197" s="1644"/>
      <c r="C197" s="1644"/>
      <c r="D197" s="359"/>
      <c r="J197" s="1649"/>
      <c r="K197" s="1649"/>
      <c r="L197" s="1649"/>
      <c r="M197" s="1649"/>
      <c r="O197" s="1168"/>
      <c r="P197" s="1644"/>
      <c r="Q197" s="1644"/>
      <c r="R197" s="1168"/>
      <c r="S197" s="1168"/>
      <c r="T197" s="1168"/>
      <c r="U197" s="1168"/>
      <c r="V197" s="1644"/>
      <c r="W197" s="1168"/>
      <c r="X197" s="1168"/>
      <c r="Y197" s="552"/>
      <c r="Z197" s="1168"/>
      <c r="AA197" s="1168"/>
      <c r="AB197" s="1168"/>
      <c r="AC197" s="1168"/>
      <c r="AD197" s="1168"/>
      <c r="AE197" s="1640"/>
      <c r="AF197" s="574"/>
      <c r="AG197" s="574"/>
      <c r="AH197" s="574"/>
      <c r="AI197" s="574"/>
      <c r="AJ197" s="1649">
        <v>11</v>
      </c>
    </row>
    <row s="1649" customFormat="1" customHeight="1" ht="11.549999999999999">
      <c r="A198" s="995"/>
      <c r="B198" s="1644"/>
      <c r="C198" s="1644"/>
      <c r="D198" s="359"/>
      <c r="J198" s="1649"/>
      <c r="K198" s="1649"/>
      <c r="L198" s="1649"/>
      <c r="M198" s="1649"/>
      <c r="O198" s="1168"/>
      <c r="P198" s="1644"/>
      <c r="Q198" s="1644"/>
      <c r="R198" s="1168"/>
      <c r="S198" s="1168"/>
      <c r="T198" s="1168"/>
      <c r="U198" s="1168"/>
      <c r="V198" s="1644"/>
      <c r="W198" s="1168"/>
      <c r="X198" s="1168"/>
      <c r="Y198" s="552"/>
      <c r="Z198" s="1168"/>
      <c r="AA198" s="1168"/>
      <c r="AB198" s="1168"/>
      <c r="AC198" s="1168"/>
      <c r="AD198" s="1168"/>
      <c r="AE198" s="1640"/>
      <c r="AF198" s="574"/>
      <c r="AG198" s="574"/>
      <c r="AH198" s="574"/>
      <c r="AI198" s="574"/>
      <c r="AJ198" s="1649">
        <v>11</v>
      </c>
    </row>
    <row s="1649" customFormat="1" customHeight="1" ht="11.549999999999999">
      <c r="A199" s="995"/>
      <c r="B199" s="1644"/>
      <c r="C199" s="1644"/>
      <c r="D199" s="359"/>
      <c r="J199" s="1649"/>
      <c r="K199" s="1649"/>
      <c r="L199" s="1649"/>
      <c r="M199" s="1649"/>
      <c r="O199" s="1168"/>
      <c r="P199" s="1644"/>
      <c r="Q199" s="1644"/>
      <c r="R199" s="1168"/>
      <c r="S199" s="1168"/>
      <c r="T199" s="1168"/>
      <c r="U199" s="1168"/>
      <c r="V199" s="1644"/>
      <c r="W199" s="1168"/>
      <c r="X199" s="1168"/>
      <c r="Y199" s="552"/>
      <c r="Z199" s="1168"/>
      <c r="AA199" s="1168"/>
      <c r="AB199" s="1168"/>
      <c r="AC199" s="1168"/>
      <c r="AD199" s="1168"/>
      <c r="AE199" s="1640"/>
      <c r="AF199" s="574"/>
      <c r="AG199" s="574"/>
      <c r="AH199" s="574"/>
      <c r="AI199" s="574"/>
      <c r="AJ199" s="1649">
        <v>11</v>
      </c>
    </row>
    <row s="1649" customFormat="1" customHeight="1" ht="11.549999999999999">
      <c r="A200" s="995"/>
      <c r="B200" s="1644"/>
      <c r="C200" s="1644"/>
      <c r="D200" s="359"/>
      <c r="J200" s="1649"/>
      <c r="K200" s="1649"/>
      <c r="L200" s="1649"/>
      <c r="M200" s="1649"/>
      <c r="O200" s="1168"/>
      <c r="P200" s="1644"/>
      <c r="Q200" s="1644"/>
      <c r="R200" s="1168"/>
      <c r="S200" s="1168"/>
      <c r="T200" s="1168"/>
      <c r="U200" s="1168"/>
      <c r="V200" s="1644"/>
      <c r="W200" s="1168"/>
      <c r="X200" s="1168"/>
      <c r="Y200" s="552"/>
      <c r="Z200" s="1168"/>
      <c r="AA200" s="1168"/>
      <c r="AB200" s="1168"/>
      <c r="AC200" s="1168"/>
      <c r="AD200" s="1168"/>
      <c r="AE200" s="1640"/>
      <c r="AF200" s="574"/>
      <c r="AG200" s="574"/>
      <c r="AH200" s="574"/>
      <c r="AI200" s="574"/>
      <c r="AJ200" s="1649">
        <v>11</v>
      </c>
    </row>
    <row s="1649" customFormat="1" customHeight="1" ht="11.549999999999999">
      <c r="A201" s="995"/>
      <c r="B201" s="1644"/>
      <c r="C201" s="1644"/>
      <c r="D201" s="359"/>
      <c r="J201" s="1649"/>
      <c r="K201" s="1649"/>
      <c r="L201" s="1649"/>
      <c r="M201" s="1649"/>
      <c r="O201" s="1168"/>
      <c r="P201" s="1644"/>
      <c r="Q201" s="1644"/>
      <c r="R201" s="1168"/>
      <c r="S201" s="1168"/>
      <c r="T201" s="1168"/>
      <c r="U201" s="1168"/>
      <c r="V201" s="1644"/>
      <c r="W201" s="1168"/>
      <c r="X201" s="1168"/>
      <c r="Y201" s="552"/>
      <c r="Z201" s="1168"/>
      <c r="AA201" s="1168"/>
      <c r="AB201" s="1168"/>
      <c r="AC201" s="1168"/>
      <c r="AD201" s="1168"/>
      <c r="AE201" s="1640"/>
      <c r="AF201" s="574"/>
      <c r="AG201" s="574"/>
      <c r="AH201" s="574"/>
      <c r="AI201" s="574"/>
      <c r="AJ201" s="1649">
        <v>11</v>
      </c>
    </row>
    <row s="1649" customFormat="1" customHeight="1" ht="11.549999999999999">
      <c r="A202" s="995"/>
      <c r="B202" s="1644"/>
      <c r="C202" s="1644"/>
      <c r="D202" s="359"/>
      <c r="J202" s="1649"/>
      <c r="K202" s="1649"/>
      <c r="L202" s="1649"/>
      <c r="M202" s="1649"/>
      <c r="O202" s="1168"/>
      <c r="P202" s="1644"/>
      <c r="Q202" s="1644"/>
      <c r="R202" s="1168"/>
      <c r="S202" s="1168"/>
      <c r="T202" s="1168"/>
      <c r="U202" s="1168"/>
      <c r="V202" s="1644"/>
      <c r="W202" s="1168"/>
      <c r="X202" s="1168"/>
      <c r="Y202" s="552"/>
      <c r="Z202" s="1168"/>
      <c r="AA202" s="1168"/>
      <c r="AB202" s="1168"/>
      <c r="AC202" s="1168"/>
      <c r="AD202" s="1168"/>
      <c r="AE202" s="1640"/>
      <c r="AF202" s="574"/>
      <c r="AG202" s="574"/>
      <c r="AH202" s="574"/>
      <c r="AI202" s="574"/>
      <c r="AJ202" s="1649">
        <v>11</v>
      </c>
    </row>
    <row s="1649" customFormat="1" customHeight="1" ht="11.549999999999999">
      <c r="A203" s="995"/>
      <c r="B203" s="1644"/>
      <c r="C203" s="1644"/>
      <c r="D203" s="359"/>
      <c r="J203" s="1649"/>
      <c r="K203" s="1649"/>
      <c r="L203" s="1649"/>
      <c r="M203" s="1649"/>
      <c r="O203" s="1168"/>
      <c r="P203" s="1644"/>
      <c r="Q203" s="1644"/>
      <c r="R203" s="1168"/>
      <c r="S203" s="1168"/>
      <c r="T203" s="1168"/>
      <c r="U203" s="1168"/>
      <c r="V203" s="1644"/>
      <c r="W203" s="1168"/>
      <c r="X203" s="1168"/>
      <c r="Y203" s="552"/>
      <c r="Z203" s="1168"/>
      <c r="AA203" s="1168"/>
      <c r="AB203" s="1168"/>
      <c r="AC203" s="1168"/>
      <c r="AD203" s="1168"/>
      <c r="AE203" s="1640"/>
      <c r="AF203" s="574"/>
      <c r="AG203" s="574"/>
      <c r="AH203" s="574"/>
      <c r="AI203" s="574"/>
      <c r="AJ203" s="1649">
        <v>11</v>
      </c>
    </row>
    <row s="1649" customFormat="1" customHeight="1" ht="11.549999999999999">
      <c r="A204" s="995"/>
      <c r="B204" s="1644"/>
      <c r="C204" s="1644"/>
      <c r="D204" s="359"/>
      <c r="J204" s="1649"/>
      <c r="K204" s="1649"/>
      <c r="L204" s="1649"/>
      <c r="M204" s="1649"/>
      <c r="O204" s="1168"/>
      <c r="P204" s="1644"/>
      <c r="Q204" s="1644"/>
      <c r="R204" s="1168"/>
      <c r="S204" s="1168"/>
      <c r="T204" s="1168"/>
      <c r="U204" s="1168"/>
      <c r="V204" s="1644"/>
      <c r="W204" s="1168"/>
      <c r="X204" s="1168"/>
      <c r="Y204" s="552"/>
      <c r="Z204" s="1168"/>
      <c r="AA204" s="1168"/>
      <c r="AB204" s="1168"/>
      <c r="AC204" s="1168"/>
      <c r="AD204" s="1168"/>
      <c r="AE204" s="1640"/>
      <c r="AF204" s="574"/>
      <c r="AG204" s="574"/>
      <c r="AH204" s="574"/>
      <c r="AI204" s="574"/>
      <c r="AJ204" s="1649">
        <v>11</v>
      </c>
    </row>
    <row s="1649" customFormat="1" customHeight="1" ht="11.549999999999999">
      <c r="A205" s="995"/>
      <c r="B205" s="1644"/>
      <c r="C205" s="1644"/>
      <c r="D205" s="359"/>
      <c r="J205" s="1649"/>
      <c r="K205" s="1649"/>
      <c r="L205" s="1649"/>
      <c r="M205" s="1649"/>
      <c r="O205" s="1168"/>
      <c r="P205" s="1644"/>
      <c r="Q205" s="1644"/>
      <c r="R205" s="1168"/>
      <c r="S205" s="1168"/>
      <c r="T205" s="1168"/>
      <c r="U205" s="1168"/>
      <c r="V205" s="1644"/>
      <c r="W205" s="1168"/>
      <c r="X205" s="1168"/>
      <c r="Y205" s="552"/>
      <c r="Z205" s="1168"/>
      <c r="AA205" s="1168"/>
      <c r="AB205" s="1168"/>
      <c r="AC205" s="1168"/>
      <c r="AD205" s="1168"/>
      <c r="AE205" s="1640"/>
      <c r="AF205" s="574"/>
      <c r="AG205" s="574"/>
      <c r="AH205" s="574"/>
      <c r="AI205" s="574"/>
      <c r="AJ205" s="1649">
        <v>11</v>
      </c>
    </row>
    <row s="1649" customFormat="1" customHeight="1" ht="11.549999999999999">
      <c r="A206" s="995"/>
      <c r="B206" s="1644"/>
      <c r="C206" s="1644"/>
      <c r="D206" s="359"/>
      <c r="J206" s="1649"/>
      <c r="K206" s="1649"/>
      <c r="L206" s="1649"/>
      <c r="M206" s="1649"/>
      <c r="O206" s="1168"/>
      <c r="P206" s="1644"/>
      <c r="Q206" s="1644"/>
      <c r="R206" s="1168"/>
      <c r="S206" s="1168"/>
      <c r="T206" s="1168"/>
      <c r="U206" s="1168"/>
      <c r="V206" s="1644"/>
      <c r="W206" s="1168"/>
      <c r="X206" s="1168"/>
      <c r="Y206" s="552"/>
      <c r="Z206" s="1168"/>
      <c r="AA206" s="1168"/>
      <c r="AB206" s="1168"/>
      <c r="AC206" s="1168"/>
      <c r="AD206" s="1168"/>
      <c r="AE206" s="1640"/>
      <c r="AF206" s="574"/>
      <c r="AG206" s="574"/>
      <c r="AH206" s="574"/>
      <c r="AI206" s="574"/>
      <c r="AJ206" s="1649">
        <v>11</v>
      </c>
    </row>
    <row s="1649" customFormat="1" customHeight="1" ht="11.549999999999999">
      <c r="A207" s="995"/>
      <c r="B207" s="1644"/>
      <c r="C207" s="1644"/>
      <c r="D207" s="359"/>
      <c r="J207" s="1649"/>
      <c r="K207" s="1649"/>
      <c r="L207" s="1649"/>
      <c r="M207" s="1649"/>
      <c r="O207" s="1168"/>
      <c r="P207" s="1644"/>
      <c r="Q207" s="1644"/>
      <c r="R207" s="1168"/>
      <c r="S207" s="1168"/>
      <c r="T207" s="1168"/>
      <c r="U207" s="1168"/>
      <c r="V207" s="1644"/>
      <c r="W207" s="1168"/>
      <c r="X207" s="1168"/>
      <c r="Y207" s="552"/>
      <c r="Z207" s="1168"/>
      <c r="AA207" s="1168"/>
      <c r="AB207" s="1168"/>
      <c r="AC207" s="1168"/>
      <c r="AD207" s="1168"/>
      <c r="AE207" s="1640"/>
      <c r="AF207" s="574"/>
      <c r="AG207" s="574"/>
      <c r="AH207" s="574"/>
      <c r="AI207" s="574"/>
      <c r="AJ207" s="1649">
        <v>11</v>
      </c>
    </row>
    <row s="1649" customFormat="1" customHeight="1" ht="11.549999999999999">
      <c r="A208" s="995"/>
      <c r="B208" s="1644"/>
      <c r="C208" s="1644"/>
      <c r="D208" s="359"/>
      <c r="J208" s="1649"/>
      <c r="K208" s="1649"/>
      <c r="L208" s="1649"/>
      <c r="M208" s="1649"/>
      <c r="O208" s="1168"/>
      <c r="P208" s="1644"/>
      <c r="Q208" s="1644"/>
      <c r="R208" s="1168"/>
      <c r="S208" s="1168"/>
      <c r="T208" s="1168"/>
      <c r="U208" s="1168"/>
      <c r="V208" s="1644"/>
      <c r="W208" s="1168"/>
      <c r="X208" s="1168"/>
      <c r="Y208" s="552"/>
      <c r="Z208" s="1168"/>
      <c r="AA208" s="1168"/>
      <c r="AB208" s="1168"/>
      <c r="AC208" s="1168"/>
      <c r="AD208" s="1168"/>
      <c r="AE208" s="1640"/>
      <c r="AF208" s="574"/>
      <c r="AG208" s="574"/>
      <c r="AH208" s="574"/>
      <c r="AI208" s="574"/>
      <c r="AJ208" s="1649">
        <v>11</v>
      </c>
    </row>
    <row s="1649" customFormat="1" customHeight="1" ht="11.549999999999999">
      <c r="A209" s="995"/>
      <c r="B209" s="1644"/>
      <c r="C209" s="1644"/>
      <c r="D209" s="359"/>
      <c r="J209" s="1649"/>
      <c r="K209" s="1649"/>
      <c r="L209" s="1649"/>
      <c r="M209" s="1649"/>
      <c r="O209" s="1168"/>
      <c r="P209" s="1644"/>
      <c r="Q209" s="1644"/>
      <c r="R209" s="1168"/>
      <c r="S209" s="1168"/>
      <c r="T209" s="1168"/>
      <c r="U209" s="1168"/>
      <c r="V209" s="1644"/>
      <c r="W209" s="1168"/>
      <c r="X209" s="1168"/>
      <c r="Y209" s="552"/>
      <c r="Z209" s="1168"/>
      <c r="AA209" s="1168"/>
      <c r="AB209" s="1168"/>
      <c r="AC209" s="1168"/>
      <c r="AD209" s="1168"/>
      <c r="AE209" s="1640"/>
      <c r="AF209" s="574"/>
      <c r="AG209" s="574"/>
      <c r="AH209" s="574"/>
      <c r="AI209" s="574"/>
      <c r="AJ209" s="1649">
        <v>11</v>
      </c>
    </row>
    <row s="1649" customFormat="1" customHeight="1" ht="11.549999999999999">
      <c r="A210" s="995"/>
      <c r="B210" s="1644"/>
      <c r="C210" s="1644"/>
      <c r="D210" s="359"/>
      <c r="J210" s="1649"/>
      <c r="K210" s="1649"/>
      <c r="L210" s="1649"/>
      <c r="M210" s="1649"/>
      <c r="O210" s="1168"/>
      <c r="P210" s="1644"/>
      <c r="Q210" s="1644"/>
      <c r="R210" s="1168"/>
      <c r="S210" s="1168"/>
      <c r="T210" s="1168"/>
      <c r="U210" s="1168"/>
      <c r="V210" s="1644"/>
      <c r="W210" s="1168"/>
      <c r="X210" s="1168"/>
      <c r="Y210" s="552"/>
      <c r="Z210" s="1168"/>
      <c r="AA210" s="1168"/>
      <c r="AB210" s="1168"/>
      <c r="AC210" s="1168"/>
      <c r="AD210" s="1168"/>
      <c r="AE210" s="1640"/>
      <c r="AF210" s="574"/>
      <c r="AG210" s="574"/>
      <c r="AH210" s="574"/>
      <c r="AI210" s="574"/>
      <c r="AJ210" s="1649">
        <v>11</v>
      </c>
    </row>
    <row s="1649" customFormat="1" customHeight="1" ht="11.549999999999999">
      <c r="A211" s="995"/>
      <c r="B211" s="1644"/>
      <c r="C211" s="1644"/>
      <c r="D211" s="359"/>
      <c r="J211" s="1649"/>
      <c r="K211" s="1649"/>
      <c r="L211" s="1649"/>
      <c r="M211" s="1649"/>
      <c r="O211" s="1168"/>
      <c r="P211" s="1644"/>
      <c r="Q211" s="1644"/>
      <c r="R211" s="1168"/>
      <c r="S211" s="1168"/>
      <c r="T211" s="1168"/>
      <c r="U211" s="1168"/>
      <c r="V211" s="1644"/>
      <c r="W211" s="1168"/>
      <c r="X211" s="1168"/>
      <c r="Y211" s="552"/>
      <c r="Z211" s="1168"/>
      <c r="AA211" s="1168"/>
      <c r="AB211" s="1168"/>
      <c r="AC211" s="1168"/>
      <c r="AD211" s="1168"/>
      <c r="AE211" s="1640"/>
      <c r="AF211" s="574"/>
      <c r="AG211" s="574"/>
      <c r="AH211" s="574"/>
      <c r="AI211" s="574"/>
      <c r="AJ211" s="1649">
        <v>11</v>
      </c>
    </row>
    <row s="1649" customFormat="1" customHeight="1" ht="11.549999999999999">
      <c r="A212" s="995"/>
      <c r="B212" s="1644"/>
      <c r="C212" s="1644"/>
      <c r="D212" s="359"/>
      <c r="J212" s="1649"/>
      <c r="K212" s="1649"/>
      <c r="L212" s="1649"/>
      <c r="M212" s="1649"/>
      <c r="O212" s="1168"/>
      <c r="P212" s="1644"/>
      <c r="Q212" s="1644"/>
      <c r="R212" s="1168"/>
      <c r="S212" s="1168"/>
      <c r="T212" s="1168"/>
      <c r="U212" s="1168"/>
      <c r="V212" s="1644"/>
      <c r="W212" s="1168"/>
      <c r="X212" s="1168"/>
      <c r="Y212" s="552"/>
      <c r="Z212" s="1168"/>
      <c r="AA212" s="1168"/>
      <c r="AB212" s="1168"/>
      <c r="AC212" s="1168"/>
      <c r="AD212" s="1168"/>
      <c r="AE212" s="1640"/>
      <c r="AF212" s="574"/>
      <c r="AG212" s="574"/>
      <c r="AH212" s="574"/>
      <c r="AI212" s="574"/>
      <c r="AJ212" s="1649">
        <v>11</v>
      </c>
    </row>
    <row s="1649" customFormat="1" customHeight="1" ht="11.549999999999999">
      <c r="A213" s="995"/>
      <c r="B213" s="1644"/>
      <c r="C213" s="1644"/>
      <c r="D213" s="359"/>
      <c r="J213" s="1649"/>
      <c r="K213" s="1649"/>
      <c r="L213" s="1649"/>
      <c r="M213" s="1649"/>
      <c r="O213" s="1168"/>
      <c r="P213" s="1644"/>
      <c r="Q213" s="1644"/>
      <c r="R213" s="1168"/>
      <c r="S213" s="1168"/>
      <c r="T213" s="1168"/>
      <c r="U213" s="1168"/>
      <c r="V213" s="1644"/>
      <c r="W213" s="1168"/>
      <c r="X213" s="1168"/>
      <c r="Y213" s="552"/>
      <c r="Z213" s="1168"/>
      <c r="AA213" s="1168"/>
      <c r="AB213" s="1168"/>
      <c r="AC213" s="1168"/>
      <c r="AD213" s="1168"/>
      <c r="AE213" s="1640"/>
      <c r="AF213" s="574"/>
      <c r="AG213" s="574"/>
      <c r="AH213" s="574"/>
      <c r="AI213" s="574"/>
      <c r="AJ213" s="1649">
        <v>11</v>
      </c>
    </row>
    <row s="1649" customFormat="1" customHeight="1" ht="11.549999999999999">
      <c r="A214" s="995"/>
      <c r="B214" s="1644"/>
      <c r="C214" s="1644"/>
      <c r="D214" s="359"/>
      <c r="J214" s="1649"/>
      <c r="K214" s="1649"/>
      <c r="L214" s="1649"/>
      <c r="M214" s="1649"/>
      <c r="O214" s="1168"/>
      <c r="P214" s="1644"/>
      <c r="Q214" s="1644"/>
      <c r="R214" s="1168"/>
      <c r="S214" s="1168"/>
      <c r="T214" s="1168"/>
      <c r="U214" s="1168"/>
      <c r="V214" s="1644"/>
      <c r="W214" s="1168"/>
      <c r="X214" s="1168"/>
      <c r="Y214" s="552"/>
      <c r="Z214" s="1168"/>
      <c r="AA214" s="1168"/>
      <c r="AB214" s="1168"/>
      <c r="AC214" s="1168"/>
      <c r="AD214" s="1168"/>
      <c r="AE214" s="1640"/>
      <c r="AF214" s="574"/>
      <c r="AG214" s="574"/>
      <c r="AH214" s="574"/>
      <c r="AI214" s="574"/>
      <c r="AJ214" s="1649">
        <v>11</v>
      </c>
    </row>
    <row s="1649" customFormat="1" customHeight="1" ht="11.549999999999999">
      <c r="A215" s="995"/>
      <c r="B215" s="1644"/>
      <c r="C215" s="1644"/>
      <c r="D215" s="359"/>
      <c r="J215" s="1649"/>
      <c r="K215" s="1649"/>
      <c r="L215" s="1649"/>
      <c r="M215" s="1649"/>
      <c r="O215" s="1168"/>
      <c r="P215" s="1644"/>
      <c r="Q215" s="1644"/>
      <c r="R215" s="1168"/>
      <c r="S215" s="1168"/>
      <c r="T215" s="1168"/>
      <c r="U215" s="1168"/>
      <c r="V215" s="1644"/>
      <c r="W215" s="1168"/>
      <c r="X215" s="1168"/>
      <c r="Y215" s="552"/>
      <c r="Z215" s="1168"/>
      <c r="AA215" s="1168"/>
      <c r="AB215" s="1168"/>
      <c r="AC215" s="1168"/>
      <c r="AD215" s="1168"/>
      <c r="AE215" s="1640"/>
      <c r="AF215" s="574"/>
      <c r="AG215" s="574"/>
      <c r="AH215" s="574"/>
      <c r="AI215" s="574"/>
      <c r="AJ215" s="1649">
        <v>11</v>
      </c>
    </row>
    <row s="1649" customFormat="1" customHeight="1" ht="11.549999999999999">
      <c r="A216" s="995"/>
      <c r="B216" s="1644"/>
      <c r="C216" s="1644"/>
      <c r="D216" s="359"/>
      <c r="J216" s="1649"/>
      <c r="K216" s="1649"/>
      <c r="L216" s="1649"/>
      <c r="M216" s="1649"/>
      <c r="O216" s="1168"/>
      <c r="P216" s="1644"/>
      <c r="Q216" s="1644"/>
      <c r="R216" s="1168"/>
      <c r="S216" s="1168"/>
      <c r="T216" s="1168"/>
      <c r="U216" s="1168"/>
      <c r="V216" s="1644"/>
      <c r="W216" s="1168"/>
      <c r="X216" s="1168"/>
      <c r="Y216" s="552"/>
      <c r="Z216" s="1168"/>
      <c r="AA216" s="1168"/>
      <c r="AB216" s="1168"/>
      <c r="AC216" s="1168"/>
      <c r="AD216" s="1168"/>
      <c r="AE216" s="1640"/>
      <c r="AF216" s="574"/>
      <c r="AG216" s="574"/>
      <c r="AH216" s="574"/>
      <c r="AI216" s="574"/>
      <c r="AJ216" s="1649">
        <v>11</v>
      </c>
    </row>
    <row s="1649" customFormat="1" customHeight="1" ht="11.549999999999999">
      <c r="A217" s="995"/>
      <c r="B217" s="1644"/>
      <c r="C217" s="1644"/>
      <c r="D217" s="359"/>
      <c r="J217" s="1649"/>
      <c r="K217" s="1649"/>
      <c r="L217" s="1649"/>
      <c r="M217" s="1649"/>
      <c r="O217" s="1168"/>
      <c r="P217" s="1644"/>
      <c r="Q217" s="1644"/>
      <c r="R217" s="1168"/>
      <c r="S217" s="1168"/>
      <c r="T217" s="1168"/>
      <c r="U217" s="1168"/>
      <c r="V217" s="1644"/>
      <c r="W217" s="1168"/>
      <c r="X217" s="1168"/>
      <c r="Y217" s="552"/>
      <c r="Z217" s="1168"/>
      <c r="AA217" s="1168"/>
      <c r="AB217" s="1168"/>
      <c r="AC217" s="1168"/>
      <c r="AD217" s="1168"/>
      <c r="AE217" s="1640"/>
      <c r="AF217" s="574"/>
      <c r="AG217" s="574"/>
      <c r="AH217" s="574"/>
      <c r="AI217" s="574"/>
      <c r="AJ217" s="1649">
        <v>11</v>
      </c>
    </row>
    <row s="1649" customFormat="1" customHeight="1" ht="11.549999999999999">
      <c r="A218" s="995"/>
      <c r="B218" s="1644"/>
      <c r="C218" s="1644"/>
      <c r="D218" s="359"/>
      <c r="J218" s="1649"/>
      <c r="K218" s="1649"/>
      <c r="L218" s="1649"/>
      <c r="M218" s="1649"/>
      <c r="O218" s="1168"/>
      <c r="P218" s="1644"/>
      <c r="Q218" s="1644"/>
      <c r="R218" s="1168"/>
      <c r="S218" s="1168"/>
      <c r="T218" s="1168"/>
      <c r="U218" s="1168"/>
      <c r="V218" s="1644"/>
      <c r="W218" s="1168"/>
      <c r="X218" s="1168"/>
      <c r="Y218" s="552"/>
      <c r="Z218" s="1168"/>
      <c r="AA218" s="1168"/>
      <c r="AB218" s="1168"/>
      <c r="AC218" s="1168"/>
      <c r="AD218" s="1168"/>
      <c r="AE218" s="1640"/>
      <c r="AF218" s="574"/>
      <c r="AG218" s="574"/>
      <c r="AH218" s="574"/>
      <c r="AI218" s="574"/>
      <c r="AJ218" s="1649">
        <v>11</v>
      </c>
    </row>
    <row s="1649" customFormat="1" customHeight="1" ht="11.549999999999999">
      <c r="A219" s="995"/>
      <c r="B219" s="1644"/>
      <c r="C219" s="1644"/>
      <c r="D219" s="359"/>
      <c r="J219" s="1649"/>
      <c r="K219" s="1649"/>
      <c r="L219" s="1649"/>
      <c r="M219" s="1649"/>
      <c r="O219" s="1168"/>
      <c r="P219" s="1644"/>
      <c r="Q219" s="1644"/>
      <c r="R219" s="1168"/>
      <c r="S219" s="1168"/>
      <c r="T219" s="1168"/>
      <c r="U219" s="1168"/>
      <c r="V219" s="1644"/>
      <c r="W219" s="1168"/>
      <c r="X219" s="1168"/>
      <c r="Y219" s="552"/>
      <c r="Z219" s="1168"/>
      <c r="AA219" s="1168"/>
      <c r="AB219" s="1168"/>
      <c r="AC219" s="1168"/>
      <c r="AD219" s="1168"/>
      <c r="AE219" s="1640"/>
      <c r="AF219" s="574"/>
      <c r="AG219" s="574"/>
      <c r="AH219" s="574"/>
      <c r="AI219" s="574"/>
      <c r="AJ219" s="1649">
        <v>11</v>
      </c>
    </row>
    <row s="1649" customFormat="1" customHeight="1" ht="11.549999999999999">
      <c r="A220" s="995"/>
      <c r="B220" s="1644"/>
      <c r="C220" s="1644"/>
      <c r="D220" s="359"/>
      <c r="J220" s="1649"/>
      <c r="K220" s="1649"/>
      <c r="L220" s="1649"/>
      <c r="M220" s="1649"/>
      <c r="O220" s="1168"/>
      <c r="P220" s="1644"/>
      <c r="Q220" s="1644"/>
      <c r="R220" s="1168"/>
      <c r="S220" s="1168"/>
      <c r="T220" s="1168"/>
      <c r="U220" s="1168"/>
      <c r="V220" s="1644"/>
      <c r="W220" s="1168"/>
      <c r="X220" s="1168"/>
      <c r="Y220" s="552"/>
      <c r="Z220" s="1168"/>
      <c r="AA220" s="1168"/>
      <c r="AB220" s="1168"/>
      <c r="AC220" s="1168"/>
      <c r="AD220" s="1168"/>
      <c r="AE220" s="1640"/>
      <c r="AF220" s="574"/>
      <c r="AG220" s="574"/>
      <c r="AH220" s="574"/>
      <c r="AI220" s="574"/>
      <c r="AJ220" s="1649">
        <v>11</v>
      </c>
    </row>
    <row s="1649" customFormat="1" customHeight="1" ht="11.549999999999999">
      <c r="A221" s="995"/>
      <c r="B221" s="1644"/>
      <c r="C221" s="1644"/>
      <c r="D221" s="359"/>
      <c r="J221" s="1649"/>
      <c r="K221" s="1649"/>
      <c r="L221" s="1649"/>
      <c r="M221" s="1649"/>
      <c r="O221" s="1168"/>
      <c r="P221" s="1644"/>
      <c r="Q221" s="1644"/>
      <c r="R221" s="1168"/>
      <c r="S221" s="1168"/>
      <c r="T221" s="1168"/>
      <c r="U221" s="1168"/>
      <c r="V221" s="1644"/>
      <c r="W221" s="1168"/>
      <c r="X221" s="1168"/>
      <c r="Y221" s="552"/>
      <c r="Z221" s="1168"/>
      <c r="AA221" s="1168"/>
      <c r="AB221" s="1168"/>
      <c r="AC221" s="1168"/>
      <c r="AD221" s="1168"/>
      <c r="AE221" s="1640"/>
      <c r="AF221" s="574"/>
      <c r="AG221" s="574"/>
      <c r="AH221" s="574"/>
      <c r="AI221" s="574"/>
      <c r="AJ221" s="1649">
        <v>11</v>
      </c>
    </row>
    <row s="1649" customFormat="1" customHeight="1" ht="11.549999999999999">
      <c r="A222" s="995"/>
      <c r="B222" s="1644"/>
      <c r="C222" s="1644"/>
      <c r="D222" s="359"/>
      <c r="J222" s="1649"/>
      <c r="K222" s="1649"/>
      <c r="L222" s="1649"/>
      <c r="M222" s="1649"/>
      <c r="O222" s="1168"/>
      <c r="P222" s="1644"/>
      <c r="Q222" s="1644"/>
      <c r="R222" s="1168"/>
      <c r="S222" s="1168"/>
      <c r="T222" s="1168"/>
      <c r="U222" s="1168"/>
      <c r="V222" s="1644"/>
      <c r="W222" s="1168"/>
      <c r="X222" s="1168"/>
      <c r="Y222" s="552"/>
      <c r="Z222" s="1168"/>
      <c r="AA222" s="1168"/>
      <c r="AB222" s="1168"/>
      <c r="AC222" s="1168"/>
      <c r="AD222" s="1168"/>
      <c r="AE222" s="1640"/>
      <c r="AF222" s="574"/>
      <c r="AG222" s="574"/>
      <c r="AH222" s="574"/>
      <c r="AI222" s="574"/>
      <c r="AJ222" s="1649">
        <v>11</v>
      </c>
    </row>
    <row s="1649" customFormat="1" customHeight="1" ht="11.549999999999999">
      <c r="A223" s="995"/>
      <c r="B223" s="1644"/>
      <c r="C223" s="1644"/>
      <c r="D223" s="359"/>
      <c r="J223" s="1649"/>
      <c r="K223" s="1649"/>
      <c r="L223" s="1649"/>
      <c r="M223" s="1649"/>
      <c r="O223" s="1168"/>
      <c r="P223" s="1644"/>
      <c r="Q223" s="1644"/>
      <c r="R223" s="1168"/>
      <c r="S223" s="1168"/>
      <c r="T223" s="1168"/>
      <c r="U223" s="1168"/>
      <c r="V223" s="1644"/>
      <c r="W223" s="1168"/>
      <c r="X223" s="1168"/>
      <c r="Y223" s="552"/>
      <c r="Z223" s="1168"/>
      <c r="AA223" s="1168"/>
      <c r="AB223" s="1168"/>
      <c r="AC223" s="1168"/>
      <c r="AD223" s="1168"/>
      <c r="AE223" s="1640"/>
      <c r="AF223" s="574"/>
      <c r="AG223" s="574"/>
      <c r="AH223" s="574"/>
      <c r="AI223" s="574"/>
      <c r="AJ223" s="1649">
        <v>11</v>
      </c>
    </row>
    <row s="1649" customFormat="1" customHeight="1" ht="11.549999999999999">
      <c r="A224" s="995"/>
      <c r="B224" s="1644"/>
      <c r="C224" s="1644"/>
      <c r="D224" s="359"/>
      <c r="J224" s="1649"/>
      <c r="K224" s="1649"/>
      <c r="L224" s="1649"/>
      <c r="M224" s="1649"/>
      <c r="O224" s="1168"/>
      <c r="P224" s="1644"/>
      <c r="Q224" s="1644"/>
      <c r="R224" s="1168"/>
      <c r="S224" s="1168"/>
      <c r="T224" s="1168"/>
      <c r="U224" s="1168"/>
      <c r="V224" s="1644"/>
      <c r="W224" s="1168"/>
      <c r="X224" s="1168"/>
      <c r="Y224" s="552"/>
      <c r="Z224" s="1168"/>
      <c r="AA224" s="1168"/>
      <c r="AB224" s="1168"/>
      <c r="AC224" s="1168"/>
      <c r="AD224" s="1168"/>
      <c r="AE224" s="1640"/>
      <c r="AF224" s="574"/>
      <c r="AG224" s="574"/>
      <c r="AH224" s="574"/>
      <c r="AI224" s="574"/>
      <c r="AJ224" s="1649">
        <v>11</v>
      </c>
    </row>
    <row s="1649" customFormat="1" customHeight="1" ht="11.549999999999999">
      <c r="A225" s="995"/>
      <c r="B225" s="1644"/>
      <c r="C225" s="1644"/>
      <c r="D225" s="359"/>
      <c r="J225" s="1649"/>
      <c r="K225" s="1649"/>
      <c r="L225" s="1649"/>
      <c r="M225" s="1649"/>
      <c r="O225" s="1168"/>
      <c r="P225" s="1644"/>
      <c r="Q225" s="1644"/>
      <c r="R225" s="1168"/>
      <c r="S225" s="1168"/>
      <c r="T225" s="1168"/>
      <c r="U225" s="1168"/>
      <c r="V225" s="1644"/>
      <c r="W225" s="1168"/>
      <c r="X225" s="1168"/>
      <c r="Y225" s="552"/>
      <c r="Z225" s="1168"/>
      <c r="AA225" s="1168"/>
      <c r="AB225" s="1168"/>
      <c r="AC225" s="1168"/>
      <c r="AD225" s="1168"/>
      <c r="AE225" s="1640"/>
      <c r="AF225" s="574"/>
      <c r="AG225" s="574"/>
      <c r="AH225" s="574"/>
      <c r="AI225" s="574"/>
      <c r="AJ225" s="1649">
        <v>11</v>
      </c>
    </row>
    <row s="1649" customFormat="1" customHeight="1" ht="11.549999999999999">
      <c r="A226" s="995"/>
      <c r="B226" s="1644"/>
      <c r="C226" s="1644"/>
      <c r="D226" s="359"/>
      <c r="J226" s="1649"/>
      <c r="K226" s="1649"/>
      <c r="L226" s="1649"/>
      <c r="M226" s="1649"/>
      <c r="O226" s="1168"/>
      <c r="P226" s="1644"/>
      <c r="Q226" s="1644"/>
      <c r="R226" s="1168"/>
      <c r="S226" s="1168"/>
      <c r="T226" s="1168"/>
      <c r="U226" s="1168"/>
      <c r="V226" s="1644"/>
      <c r="W226" s="1168"/>
      <c r="X226" s="1168"/>
      <c r="Y226" s="552"/>
      <c r="Z226" s="1168"/>
      <c r="AA226" s="1168"/>
      <c r="AB226" s="1168"/>
      <c r="AC226" s="1168"/>
      <c r="AD226" s="1168"/>
      <c r="AE226" s="1640"/>
      <c r="AF226" s="574"/>
      <c r="AG226" s="574"/>
      <c r="AH226" s="574"/>
      <c r="AI226" s="574"/>
      <c r="AJ226" s="1649">
        <v>11</v>
      </c>
    </row>
    <row s="1649" customFormat="1" customHeight="1" ht="11.549999999999999">
      <c r="A227" s="995"/>
      <c r="B227" s="1644"/>
      <c r="C227" s="1644"/>
      <c r="D227" s="359"/>
      <c r="J227" s="1649"/>
      <c r="K227" s="1649"/>
      <c r="L227" s="1649"/>
      <c r="M227" s="1649"/>
      <c r="O227" s="1168"/>
      <c r="P227" s="1644"/>
      <c r="Q227" s="1644"/>
      <c r="R227" s="1168"/>
      <c r="S227" s="1168"/>
      <c r="T227" s="1168"/>
      <c r="U227" s="1168"/>
      <c r="V227" s="1644"/>
      <c r="W227" s="1168"/>
      <c r="X227" s="1168"/>
      <c r="Y227" s="552"/>
      <c r="Z227" s="1168"/>
      <c r="AA227" s="1168"/>
      <c r="AB227" s="1168"/>
      <c r="AC227" s="1168"/>
      <c r="AD227" s="1168"/>
      <c r="AE227" s="1640"/>
      <c r="AF227" s="574"/>
      <c r="AG227" s="574"/>
      <c r="AH227" s="574"/>
      <c r="AI227" s="574"/>
      <c r="AJ227" s="1649">
        <v>11</v>
      </c>
    </row>
    <row s="1649" customFormat="1" customHeight="1" ht="11.549999999999999">
      <c r="A228" s="995"/>
      <c r="B228" s="1644"/>
      <c r="C228" s="1644"/>
      <c r="D228" s="359"/>
      <c r="J228" s="1649"/>
      <c r="K228" s="1649"/>
      <c r="L228" s="1649"/>
      <c r="M228" s="1649"/>
      <c r="O228" s="1168"/>
      <c r="P228" s="1644"/>
      <c r="Q228" s="1644"/>
      <c r="R228" s="1168"/>
      <c r="S228" s="1168"/>
      <c r="T228" s="1168"/>
      <c r="U228" s="1168"/>
      <c r="V228" s="1644"/>
      <c r="W228" s="1168"/>
      <c r="X228" s="1168"/>
      <c r="Y228" s="552"/>
      <c r="Z228" s="1168"/>
      <c r="AA228" s="1168"/>
      <c r="AB228" s="1168"/>
      <c r="AC228" s="1168"/>
      <c r="AD228" s="1168"/>
      <c r="AE228" s="1640"/>
      <c r="AF228" s="574"/>
      <c r="AG228" s="574"/>
      <c r="AH228" s="574"/>
      <c r="AI228" s="574"/>
      <c r="AJ228" s="1649">
        <v>11</v>
      </c>
    </row>
    <row s="1649" customFormat="1" customHeight="1" ht="11.549999999999999">
      <c r="A229" s="995"/>
      <c r="B229" s="1644"/>
      <c r="C229" s="1644"/>
      <c r="D229" s="359"/>
      <c r="J229" s="1649"/>
      <c r="K229" s="1649"/>
      <c r="L229" s="1649"/>
      <c r="M229" s="1649"/>
      <c r="O229" s="1168"/>
      <c r="P229" s="1644"/>
      <c r="Q229" s="1644"/>
      <c r="R229" s="1168"/>
      <c r="S229" s="1168"/>
      <c r="T229" s="1168"/>
      <c r="U229" s="1168"/>
      <c r="V229" s="1644"/>
      <c r="W229" s="1168"/>
      <c r="X229" s="1168"/>
      <c r="Y229" s="552"/>
      <c r="Z229" s="1168"/>
      <c r="AA229" s="1168"/>
      <c r="AB229" s="1168"/>
      <c r="AC229" s="1168"/>
      <c r="AD229" s="1168"/>
      <c r="AE229" s="1640"/>
      <c r="AF229" s="574"/>
      <c r="AG229" s="574"/>
      <c r="AH229" s="574"/>
      <c r="AI229" s="574"/>
      <c r="AJ229" s="1649">
        <v>11</v>
      </c>
    </row>
    <row s="1649" customFormat="1" customHeight="1" ht="11.549999999999999">
      <c r="A230" s="995"/>
      <c r="B230" s="1644"/>
      <c r="C230" s="1644"/>
      <c r="D230" s="359"/>
      <c r="J230" s="1649"/>
      <c r="K230" s="1649"/>
      <c r="L230" s="1649"/>
      <c r="M230" s="1649"/>
      <c r="O230" s="1168"/>
      <c r="P230" s="1644"/>
      <c r="Q230" s="1644"/>
      <c r="R230" s="1168"/>
      <c r="S230" s="1168"/>
      <c r="T230" s="1168"/>
      <c r="U230" s="1168"/>
      <c r="V230" s="1644"/>
      <c r="W230" s="1168"/>
      <c r="X230" s="1168"/>
      <c r="Y230" s="552"/>
      <c r="Z230" s="1168"/>
      <c r="AA230" s="1168"/>
      <c r="AB230" s="1168"/>
      <c r="AC230" s="1168"/>
      <c r="AD230" s="1168"/>
      <c r="AE230" s="1640"/>
      <c r="AF230" s="574"/>
      <c r="AG230" s="574"/>
      <c r="AH230" s="574"/>
      <c r="AI230" s="574"/>
      <c r="AJ230" s="1649">
        <v>11</v>
      </c>
    </row>
    <row s="1649" customFormat="1" customHeight="1" ht="11.549999999999999">
      <c r="A231" s="995"/>
      <c r="B231" s="1644"/>
      <c r="C231" s="1644"/>
      <c r="D231" s="359"/>
      <c r="J231" s="1649"/>
      <c r="K231" s="1649"/>
      <c r="L231" s="1649"/>
      <c r="M231" s="1649"/>
      <c r="O231" s="1168"/>
      <c r="P231" s="1644"/>
      <c r="Q231" s="1644"/>
      <c r="R231" s="1168"/>
      <c r="S231" s="1168"/>
      <c r="T231" s="1168"/>
      <c r="U231" s="1168"/>
      <c r="V231" s="1644"/>
      <c r="W231" s="1168"/>
      <c r="X231" s="1168"/>
      <c r="Y231" s="552"/>
      <c r="Z231" s="1168"/>
      <c r="AA231" s="1168"/>
      <c r="AB231" s="1168"/>
      <c r="AC231" s="1168"/>
      <c r="AD231" s="1168"/>
      <c r="AE231" s="1640"/>
      <c r="AF231" s="574"/>
      <c r="AG231" s="574"/>
      <c r="AH231" s="574"/>
      <c r="AI231" s="574"/>
      <c r="AJ231" s="1649">
        <v>11</v>
      </c>
    </row>
    <row s="1649" customFormat="1" customHeight="1" ht="11.549999999999999">
      <c r="A232" s="995"/>
      <c r="B232" s="1644"/>
      <c r="C232" s="1644"/>
      <c r="D232" s="359"/>
      <c r="J232" s="1649"/>
      <c r="K232" s="1649"/>
      <c r="L232" s="1649"/>
      <c r="M232" s="1649"/>
      <c r="O232" s="1168"/>
      <c r="P232" s="1644"/>
      <c r="Q232" s="1644"/>
      <c r="R232" s="1168"/>
      <c r="S232" s="1168"/>
      <c r="T232" s="1168"/>
      <c r="U232" s="1168"/>
      <c r="V232" s="1644"/>
      <c r="W232" s="1168"/>
      <c r="X232" s="1168"/>
      <c r="Y232" s="552"/>
      <c r="Z232" s="1168"/>
      <c r="AA232" s="1168"/>
      <c r="AB232" s="1168"/>
      <c r="AC232" s="1168"/>
      <c r="AD232" s="1168"/>
      <c r="AE232" s="1640"/>
      <c r="AF232" s="574"/>
      <c r="AG232" s="574"/>
      <c r="AH232" s="574"/>
      <c r="AI232" s="574"/>
      <c r="AJ232" s="1649">
        <v>11</v>
      </c>
    </row>
    <row s="1649" customFormat="1" customHeight="1" ht="11.549999999999999">
      <c r="A233" s="995"/>
      <c r="B233" s="1644"/>
      <c r="C233" s="1644"/>
      <c r="D233" s="359"/>
      <c r="J233" s="1649"/>
      <c r="K233" s="1649"/>
      <c r="L233" s="1649"/>
      <c r="M233" s="1649"/>
      <c r="O233" s="1168"/>
      <c r="P233" s="1644"/>
      <c r="Q233" s="1644"/>
      <c r="R233" s="1168"/>
      <c r="S233" s="1168"/>
      <c r="T233" s="1168"/>
      <c r="U233" s="1168"/>
      <c r="V233" s="1644"/>
      <c r="W233" s="1168"/>
      <c r="X233" s="1168"/>
      <c r="Y233" s="552"/>
      <c r="Z233" s="1168"/>
      <c r="AA233" s="1168"/>
      <c r="AB233" s="1168"/>
      <c r="AC233" s="1168"/>
      <c r="AD233" s="1168"/>
      <c r="AE233" s="1640"/>
      <c r="AF233" s="574"/>
      <c r="AG233" s="574"/>
      <c r="AH233" s="574"/>
      <c r="AI233" s="574"/>
      <c r="AJ233" s="1649">
        <v>11</v>
      </c>
    </row>
    <row s="1649" customFormat="1" customHeight="1" ht="11.549999999999999">
      <c r="A234" s="995"/>
      <c r="B234" s="1644"/>
      <c r="C234" s="1644"/>
      <c r="D234" s="359"/>
      <c r="J234" s="1649"/>
      <c r="K234" s="1649"/>
      <c r="L234" s="1649"/>
      <c r="M234" s="1649"/>
      <c r="O234" s="1168"/>
      <c r="P234" s="1644"/>
      <c r="Q234" s="1644"/>
      <c r="R234" s="1168"/>
      <c r="S234" s="1168"/>
      <c r="T234" s="1168"/>
      <c r="U234" s="1168"/>
      <c r="V234" s="1644"/>
      <c r="W234" s="1168"/>
      <c r="X234" s="1168"/>
      <c r="Y234" s="552"/>
      <c r="Z234" s="1168"/>
      <c r="AA234" s="1168"/>
      <c r="AB234" s="1168"/>
      <c r="AC234" s="1168"/>
      <c r="AD234" s="1168"/>
      <c r="AE234" s="1640"/>
      <c r="AF234" s="574"/>
      <c r="AG234" s="574"/>
      <c r="AH234" s="574"/>
      <c r="AI234" s="574"/>
      <c r="AJ234" s="1649">
        <v>11</v>
      </c>
    </row>
    <row s="1649" customFormat="1" customHeight="1" ht="11.549999999999999">
      <c r="A235" s="995"/>
      <c r="B235" s="1644"/>
      <c r="C235" s="1644"/>
      <c r="D235" s="359"/>
      <c r="J235" s="1649"/>
      <c r="K235" s="1649"/>
      <c r="L235" s="1649"/>
      <c r="M235" s="1649"/>
      <c r="O235" s="1168"/>
      <c r="P235" s="1644"/>
      <c r="Q235" s="1644"/>
      <c r="R235" s="1168"/>
      <c r="S235" s="1168"/>
      <c r="T235" s="1168"/>
      <c r="U235" s="1168"/>
      <c r="V235" s="1644"/>
      <c r="W235" s="1168"/>
      <c r="X235" s="1168"/>
      <c r="Y235" s="552"/>
      <c r="Z235" s="1168"/>
      <c r="AA235" s="1168"/>
      <c r="AB235" s="1168"/>
      <c r="AC235" s="1168"/>
      <c r="AD235" s="1168"/>
      <c r="AE235" s="1640"/>
      <c r="AF235" s="574"/>
      <c r="AG235" s="574"/>
      <c r="AH235" s="574"/>
      <c r="AI235" s="574"/>
      <c r="AJ235" s="1649">
        <v>11</v>
      </c>
    </row>
    <row s="1649" customFormat="1" customHeight="1" ht="11.549999999999999">
      <c r="A236" s="995"/>
      <c r="B236" s="1644"/>
      <c r="C236" s="1644"/>
      <c r="D236" s="359"/>
      <c r="J236" s="1649"/>
      <c r="K236" s="1649"/>
      <c r="L236" s="1649"/>
      <c r="M236" s="1649"/>
      <c r="O236" s="1168"/>
      <c r="P236" s="1644"/>
      <c r="Q236" s="1644"/>
      <c r="R236" s="1168"/>
      <c r="S236" s="1168"/>
      <c r="T236" s="1168"/>
      <c r="U236" s="1168"/>
      <c r="V236" s="1644"/>
      <c r="W236" s="1168"/>
      <c r="X236" s="1168"/>
      <c r="Y236" s="552"/>
      <c r="Z236" s="1168"/>
      <c r="AA236" s="1168"/>
      <c r="AB236" s="1168"/>
      <c r="AC236" s="1168"/>
      <c r="AD236" s="1168"/>
      <c r="AE236" s="1640"/>
      <c r="AF236" s="574"/>
      <c r="AG236" s="574"/>
      <c r="AH236" s="574"/>
      <c r="AI236" s="574"/>
      <c r="AJ236" s="1649">
        <v>11</v>
      </c>
    </row>
    <row s="1649" customFormat="1" customHeight="1" ht="11.549999999999999">
      <c r="A237" s="995"/>
      <c r="B237" s="1644"/>
      <c r="C237" s="1644"/>
      <c r="D237" s="359"/>
      <c r="J237" s="1649"/>
      <c r="K237" s="1649"/>
      <c r="L237" s="1649"/>
      <c r="M237" s="1649"/>
      <c r="O237" s="1168"/>
      <c r="P237" s="1644"/>
      <c r="Q237" s="1644"/>
      <c r="R237" s="1168"/>
      <c r="S237" s="1168"/>
      <c r="T237" s="1168"/>
      <c r="U237" s="1168"/>
      <c r="V237" s="1644"/>
      <c r="W237" s="1168"/>
      <c r="X237" s="1168"/>
      <c r="Y237" s="552"/>
      <c r="Z237" s="1168"/>
      <c r="AA237" s="1168"/>
      <c r="AB237" s="1168"/>
      <c r="AC237" s="1168"/>
      <c r="AD237" s="1168"/>
      <c r="AE237" s="1640"/>
      <c r="AF237" s="574"/>
      <c r="AG237" s="574"/>
      <c r="AH237" s="574"/>
      <c r="AI237" s="574"/>
      <c r="AJ237" s="1649">
        <v>11</v>
      </c>
    </row>
    <row s="1649" customFormat="1" customHeight="1" ht="11.549999999999999">
      <c r="A238" s="995"/>
      <c r="B238" s="1644"/>
      <c r="C238" s="1644"/>
      <c r="D238" s="359"/>
      <c r="J238" s="1649"/>
      <c r="K238" s="1649"/>
      <c r="L238" s="1649"/>
      <c r="M238" s="1649"/>
      <c r="O238" s="1168"/>
      <c r="P238" s="1644"/>
      <c r="Q238" s="1644"/>
      <c r="R238" s="1168"/>
      <c r="S238" s="1168"/>
      <c r="T238" s="1168"/>
      <c r="U238" s="1168"/>
      <c r="V238" s="1644"/>
      <c r="W238" s="1168"/>
      <c r="X238" s="1168"/>
      <c r="Y238" s="552"/>
      <c r="Z238" s="1168"/>
      <c r="AA238" s="1168"/>
      <c r="AB238" s="1168"/>
      <c r="AC238" s="1168"/>
      <c r="AD238" s="1168"/>
      <c r="AE238" s="1640"/>
      <c r="AF238" s="574"/>
      <c r="AG238" s="574"/>
      <c r="AH238" s="574"/>
      <c r="AI238" s="574"/>
      <c r="AJ238" s="1649">
        <v>11</v>
      </c>
    </row>
    <row s="1649" customFormat="1" customHeight="1" ht="11.549999999999999">
      <c r="A239" s="995"/>
      <c r="B239" s="1644"/>
      <c r="C239" s="1644"/>
      <c r="D239" s="359"/>
      <c r="J239" s="1649"/>
      <c r="K239" s="1649"/>
      <c r="L239" s="1649"/>
      <c r="M239" s="1649"/>
      <c r="O239" s="1168"/>
      <c r="P239" s="1644"/>
      <c r="Q239" s="1644"/>
      <c r="R239" s="1168"/>
      <c r="S239" s="1168"/>
      <c r="T239" s="1168"/>
      <c r="U239" s="1168"/>
      <c r="V239" s="1644"/>
      <c r="W239" s="1168"/>
      <c r="X239" s="1168"/>
      <c r="Y239" s="552"/>
      <c r="Z239" s="1168"/>
      <c r="AA239" s="1168"/>
      <c r="AB239" s="1168"/>
      <c r="AC239" s="1168"/>
      <c r="AD239" s="1168"/>
      <c r="AE239" s="1640"/>
      <c r="AF239" s="574"/>
      <c r="AG239" s="574"/>
      <c r="AH239" s="574"/>
      <c r="AI239" s="574"/>
      <c r="AJ239" s="1649">
        <v>11</v>
      </c>
    </row>
    <row s="1649" customFormat="1" customHeight="1" ht="11.549999999999999">
      <c r="A240" s="995"/>
      <c r="B240" s="1644"/>
      <c r="C240" s="1644"/>
      <c r="D240" s="359"/>
      <c r="J240" s="1649"/>
      <c r="K240" s="1649"/>
      <c r="L240" s="1649"/>
      <c r="M240" s="1649"/>
      <c r="O240" s="1168"/>
      <c r="P240" s="1644"/>
      <c r="Q240" s="1644"/>
      <c r="R240" s="1168"/>
      <c r="S240" s="1168"/>
      <c r="T240" s="1168"/>
      <c r="U240" s="1168"/>
      <c r="V240" s="1644"/>
      <c r="W240" s="1168"/>
      <c r="X240" s="1168"/>
      <c r="Y240" s="552"/>
      <c r="Z240" s="1168"/>
      <c r="AA240" s="1168"/>
      <c r="AB240" s="1168"/>
      <c r="AC240" s="1168"/>
      <c r="AD240" s="1168"/>
      <c r="AE240" s="1640"/>
      <c r="AF240" s="574"/>
      <c r="AG240" s="574"/>
      <c r="AH240" s="574"/>
      <c r="AI240" s="574"/>
      <c r="AJ240" s="1649">
        <v>11</v>
      </c>
    </row>
    <row s="1649" customFormat="1" customHeight="1" ht="11.549999999999999">
      <c r="A241" s="995"/>
      <c r="B241" s="1644"/>
      <c r="C241" s="1644"/>
      <c r="D241" s="359"/>
      <c r="J241" s="1649"/>
      <c r="K241" s="1649"/>
      <c r="L241" s="1649"/>
      <c r="M241" s="1649"/>
      <c r="O241" s="1168"/>
      <c r="P241" s="1644"/>
      <c r="Q241" s="1644"/>
      <c r="R241" s="1168"/>
      <c r="S241" s="1168"/>
      <c r="T241" s="1168"/>
      <c r="U241" s="1168"/>
      <c r="V241" s="1644"/>
      <c r="W241" s="1168"/>
      <c r="X241" s="1168"/>
      <c r="Y241" s="552"/>
      <c r="Z241" s="1168"/>
      <c r="AA241" s="1168"/>
      <c r="AB241" s="1168"/>
      <c r="AC241" s="1168"/>
      <c r="AD241" s="1168"/>
      <c r="AE241" s="1640"/>
      <c r="AF241" s="574"/>
      <c r="AG241" s="574"/>
      <c r="AH241" s="574"/>
      <c r="AI241" s="574"/>
      <c r="AJ241" s="1649">
        <v>11</v>
      </c>
    </row>
    <row s="1649" customFormat="1" customHeight="1" ht="11.549999999999999">
      <c r="A242" s="995"/>
      <c r="B242" s="1644"/>
      <c r="C242" s="1644"/>
      <c r="D242" s="359"/>
      <c r="J242" s="1649"/>
      <c r="K242" s="1649"/>
      <c r="L242" s="1649"/>
      <c r="M242" s="1649"/>
      <c r="O242" s="1168"/>
      <c r="P242" s="1644"/>
      <c r="Q242" s="1644"/>
      <c r="R242" s="1168"/>
      <c r="S242" s="1168"/>
      <c r="T242" s="1168"/>
      <c r="U242" s="1168"/>
      <c r="V242" s="1644"/>
      <c r="W242" s="1168"/>
      <c r="X242" s="1168"/>
      <c r="Y242" s="552"/>
      <c r="Z242" s="1168"/>
      <c r="AA242" s="1168"/>
      <c r="AB242" s="1168"/>
      <c r="AC242" s="1168"/>
      <c r="AD242" s="1168"/>
      <c r="AE242" s="1640"/>
      <c r="AF242" s="574"/>
      <c r="AG242" s="574"/>
      <c r="AH242" s="574"/>
      <c r="AI242" s="574"/>
      <c r="AJ242" s="1649">
        <v>11</v>
      </c>
    </row>
    <row s="1649" customFormat="1" customHeight="1" ht="11.549999999999999">
      <c r="A243" s="995"/>
      <c r="B243" s="1644"/>
      <c r="C243" s="1644"/>
      <c r="D243" s="359"/>
      <c r="J243" s="1649"/>
      <c r="K243" s="1649"/>
      <c r="L243" s="1649"/>
      <c r="M243" s="1649"/>
      <c r="O243" s="1168"/>
      <c r="P243" s="1644"/>
      <c r="Q243" s="1644"/>
      <c r="R243" s="1168"/>
      <c r="S243" s="1168"/>
      <c r="T243" s="1168"/>
      <c r="U243" s="1168"/>
      <c r="V243" s="1644"/>
      <c r="W243" s="1168"/>
      <c r="X243" s="1168"/>
      <c r="Y243" s="552"/>
      <c r="Z243" s="1168"/>
      <c r="AA243" s="1168"/>
      <c r="AB243" s="1168"/>
      <c r="AC243" s="1168"/>
      <c r="AD243" s="1168"/>
      <c r="AE243" s="1640"/>
      <c r="AF243" s="574"/>
      <c r="AG243" s="574"/>
      <c r="AH243" s="574"/>
      <c r="AI243" s="574"/>
      <c r="AJ243" s="1649">
        <v>11</v>
      </c>
    </row>
    <row s="1649" customFormat="1" customHeight="1" ht="11.549999999999999">
      <c r="A244" s="995"/>
      <c r="B244" s="1644"/>
      <c r="C244" s="1644"/>
      <c r="D244" s="359"/>
      <c r="J244" s="1649"/>
      <c r="K244" s="1649"/>
      <c r="L244" s="1649"/>
      <c r="M244" s="1649"/>
      <c r="O244" s="1168"/>
      <c r="P244" s="1644"/>
      <c r="Q244" s="1644"/>
      <c r="R244" s="1168"/>
      <c r="S244" s="1168"/>
      <c r="T244" s="1168"/>
      <c r="U244" s="1168"/>
      <c r="V244" s="1644"/>
      <c r="W244" s="1168"/>
      <c r="X244" s="1168"/>
      <c r="Y244" s="552"/>
      <c r="Z244" s="1168"/>
      <c r="AA244" s="1168"/>
      <c r="AB244" s="1168"/>
      <c r="AC244" s="1168"/>
      <c r="AD244" s="1168"/>
      <c r="AE244" s="1640"/>
      <c r="AF244" s="574"/>
      <c r="AG244" s="574"/>
      <c r="AH244" s="574"/>
      <c r="AI244" s="574"/>
      <c r="AJ244" s="1649">
        <v>11</v>
      </c>
    </row>
    <row s="1649" customFormat="1" customHeight="1" ht="11.549999999999999">
      <c r="A245" s="995"/>
      <c r="B245" s="1644"/>
      <c r="C245" s="1644"/>
      <c r="D245" s="359"/>
      <c r="J245" s="1649"/>
      <c r="K245" s="1649"/>
      <c r="L245" s="1649"/>
      <c r="M245" s="1649"/>
      <c r="O245" s="1168"/>
      <c r="P245" s="1644"/>
      <c r="Q245" s="1644"/>
      <c r="R245" s="1168"/>
      <c r="S245" s="1168"/>
      <c r="T245" s="1168"/>
      <c r="U245" s="1168"/>
      <c r="V245" s="1644"/>
      <c r="W245" s="1168"/>
      <c r="X245" s="1168"/>
      <c r="Y245" s="552"/>
      <c r="Z245" s="1168"/>
      <c r="AA245" s="1168"/>
      <c r="AB245" s="1168"/>
      <c r="AC245" s="1168"/>
      <c r="AD245" s="1168"/>
      <c r="AE245" s="1640"/>
      <c r="AF245" s="574"/>
      <c r="AG245" s="574"/>
      <c r="AH245" s="574"/>
      <c r="AI245" s="574"/>
      <c r="AJ245" s="1649">
        <v>11</v>
      </c>
    </row>
    <row s="1649" customFormat="1" customHeight="1" ht="11.549999999999999">
      <c r="A246" s="995"/>
      <c r="B246" s="1644"/>
      <c r="C246" s="1644"/>
      <c r="D246" s="359"/>
      <c r="J246" s="1649"/>
      <c r="K246" s="1649"/>
      <c r="L246" s="1649"/>
      <c r="M246" s="1649"/>
      <c r="O246" s="1168"/>
      <c r="P246" s="1644"/>
      <c r="Q246" s="1644"/>
      <c r="R246" s="1168"/>
      <c r="S246" s="1168"/>
      <c r="T246" s="1168"/>
      <c r="U246" s="1168"/>
      <c r="V246" s="1644"/>
      <c r="W246" s="1168"/>
      <c r="X246" s="1168"/>
      <c r="Y246" s="552"/>
      <c r="Z246" s="1168"/>
      <c r="AA246" s="1168"/>
      <c r="AB246" s="1168"/>
      <c r="AC246" s="1168"/>
      <c r="AD246" s="1168"/>
      <c r="AE246" s="1640"/>
      <c r="AF246" s="574"/>
      <c r="AG246" s="574"/>
      <c r="AH246" s="574"/>
      <c r="AI246" s="574"/>
      <c r="AJ246" s="1649">
        <v>11</v>
      </c>
    </row>
    <row s="1649" customFormat="1" customHeight="1" ht="11.549999999999999">
      <c r="A247" s="995"/>
      <c r="B247" s="1644"/>
      <c r="C247" s="1644"/>
      <c r="D247" s="359"/>
      <c r="J247" s="1649"/>
      <c r="K247" s="1649"/>
      <c r="L247" s="1649"/>
      <c r="M247" s="1649"/>
      <c r="O247" s="1168"/>
      <c r="P247" s="1644"/>
      <c r="Q247" s="1644"/>
      <c r="R247" s="1168"/>
      <c r="S247" s="1168"/>
      <c r="T247" s="1168"/>
      <c r="U247" s="1168"/>
      <c r="V247" s="1644"/>
      <c r="W247" s="1168"/>
      <c r="X247" s="1168"/>
      <c r="Y247" s="552"/>
      <c r="Z247" s="1168"/>
      <c r="AA247" s="1168"/>
      <c r="AB247" s="1168"/>
      <c r="AC247" s="1168"/>
      <c r="AD247" s="1168"/>
      <c r="AE247" s="1640"/>
      <c r="AF247" s="574"/>
      <c r="AG247" s="574"/>
      <c r="AH247" s="574"/>
      <c r="AI247" s="574"/>
      <c r="AJ247" s="1649">
        <v>11</v>
      </c>
    </row>
    <row s="1649" customFormat="1" customHeight="1" ht="11.549999999999999">
      <c r="A248" s="995"/>
      <c r="B248" s="1644"/>
      <c r="C248" s="1644"/>
      <c r="D248" s="359"/>
      <c r="J248" s="1649"/>
      <c r="K248" s="1649"/>
      <c r="L248" s="1649"/>
      <c r="M248" s="1649"/>
      <c r="O248" s="1168"/>
      <c r="P248" s="1644"/>
      <c r="Q248" s="1644"/>
      <c r="R248" s="1168"/>
      <c r="S248" s="1168"/>
      <c r="T248" s="1168"/>
      <c r="U248" s="1168"/>
      <c r="V248" s="1644"/>
      <c r="W248" s="1168"/>
      <c r="X248" s="1168"/>
      <c r="Y248" s="552"/>
      <c r="Z248" s="1168"/>
      <c r="AA248" s="1168"/>
      <c r="AB248" s="1168"/>
      <c r="AC248" s="1168"/>
      <c r="AD248" s="1168"/>
      <c r="AE248" s="1640"/>
      <c r="AF248" s="574"/>
      <c r="AG248" s="574"/>
      <c r="AH248" s="574"/>
      <c r="AI248" s="574"/>
      <c r="AJ248" s="1649">
        <v>11</v>
      </c>
    </row>
    <row s="1649" customFormat="1" customHeight="1" ht="11.549999999999999">
      <c r="A249" s="995"/>
      <c r="B249" s="1644"/>
      <c r="C249" s="1644"/>
      <c r="D249" s="359"/>
      <c r="J249" s="1649"/>
      <c r="K249" s="1649"/>
      <c r="L249" s="1649"/>
      <c r="M249" s="1649"/>
      <c r="O249" s="1168"/>
      <c r="P249" s="1644"/>
      <c r="Q249" s="1644"/>
      <c r="R249" s="1168"/>
      <c r="S249" s="1168"/>
      <c r="T249" s="1168"/>
      <c r="U249" s="1168"/>
      <c r="V249" s="1644"/>
      <c r="W249" s="1168"/>
      <c r="X249" s="1168"/>
      <c r="Y249" s="552"/>
      <c r="Z249" s="1168"/>
      <c r="AA249" s="1168"/>
      <c r="AB249" s="1168"/>
      <c r="AC249" s="1168"/>
      <c r="AD249" s="1168"/>
      <c r="AE249" s="1640"/>
      <c r="AF249" s="574"/>
      <c r="AG249" s="574"/>
      <c r="AH249" s="574"/>
      <c r="AI249" s="574"/>
      <c r="AJ249" s="1649">
        <v>11</v>
      </c>
    </row>
    <row s="1649" customFormat="1" customHeight="1" ht="11.549999999999999">
      <c r="A250" s="995"/>
      <c r="B250" s="1644"/>
      <c r="C250" s="1644"/>
      <c r="D250" s="359"/>
      <c r="J250" s="1649"/>
      <c r="K250" s="1649"/>
      <c r="L250" s="1649"/>
      <c r="M250" s="1649"/>
      <c r="O250" s="1168"/>
      <c r="P250" s="1644"/>
      <c r="Q250" s="1644"/>
      <c r="R250" s="1168"/>
      <c r="S250" s="1168"/>
      <c r="T250" s="1168"/>
      <c r="U250" s="1168"/>
      <c r="V250" s="1644"/>
      <c r="W250" s="1168"/>
      <c r="X250" s="1168"/>
      <c r="Y250" s="552"/>
      <c r="Z250" s="1168"/>
      <c r="AA250" s="1168"/>
      <c r="AB250" s="1168"/>
      <c r="AC250" s="1168"/>
      <c r="AD250" s="1168"/>
      <c r="AE250" s="1640"/>
      <c r="AF250" s="574"/>
      <c r="AG250" s="574"/>
      <c r="AH250" s="574"/>
      <c r="AI250" s="574"/>
      <c r="AJ250" s="1649">
        <v>11</v>
      </c>
    </row>
    <row s="1649" customFormat="1" customHeight="1" ht="11.549999999999999">
      <c r="A251" s="995"/>
      <c r="B251" s="1644"/>
      <c r="C251" s="1644"/>
      <c r="D251" s="359"/>
      <c r="J251" s="1649"/>
      <c r="K251" s="1649"/>
      <c r="L251" s="1649"/>
      <c r="M251" s="1649"/>
      <c r="O251" s="1168"/>
      <c r="P251" s="1644"/>
      <c r="Q251" s="1644"/>
      <c r="R251" s="1168"/>
      <c r="S251" s="1168"/>
      <c r="T251" s="1168"/>
      <c r="U251" s="1168"/>
      <c r="V251" s="1644"/>
      <c r="W251" s="1168"/>
      <c r="X251" s="1168"/>
      <c r="Y251" s="552"/>
      <c r="Z251" s="1168"/>
      <c r="AA251" s="1168"/>
      <c r="AB251" s="1168"/>
      <c r="AC251" s="1168"/>
      <c r="AD251" s="1168"/>
      <c r="AE251" s="1640"/>
      <c r="AF251" s="574"/>
      <c r="AG251" s="574"/>
      <c r="AH251" s="574"/>
      <c r="AI251" s="574"/>
      <c r="AJ251" s="1649">
        <v>11</v>
      </c>
    </row>
    <row s="1649" customFormat="1" customHeight="1" ht="11.549999999999999">
      <c r="A252" s="995"/>
      <c r="B252" s="1644"/>
      <c r="C252" s="1644"/>
      <c r="D252" s="359"/>
      <c r="J252" s="1649"/>
      <c r="K252" s="1649"/>
      <c r="L252" s="1649"/>
      <c r="M252" s="1649"/>
      <c r="O252" s="1168"/>
      <c r="P252" s="1644"/>
      <c r="Q252" s="1644"/>
      <c r="R252" s="1168"/>
      <c r="S252" s="1168"/>
      <c r="T252" s="1168"/>
      <c r="U252" s="1168"/>
      <c r="V252" s="1644"/>
      <c r="W252" s="1168"/>
      <c r="X252" s="1168"/>
      <c r="Y252" s="552"/>
      <c r="Z252" s="1168"/>
      <c r="AA252" s="1168"/>
      <c r="AB252" s="1168"/>
      <c r="AC252" s="1168"/>
      <c r="AD252" s="1168"/>
      <c r="AE252" s="1640"/>
      <c r="AF252" s="574"/>
      <c r="AG252" s="574"/>
      <c r="AH252" s="574"/>
      <c r="AI252" s="574"/>
      <c r="AJ252" s="1649">
        <v>11</v>
      </c>
    </row>
    <row s="1649" customFormat="1" customHeight="1" ht="11.549999999999999">
      <c r="A253" s="995"/>
      <c r="B253" s="1644"/>
      <c r="C253" s="1644"/>
      <c r="D253" s="359"/>
      <c r="J253" s="1649"/>
      <c r="K253" s="1649"/>
      <c r="L253" s="1649"/>
      <c r="M253" s="1649"/>
      <c r="O253" s="1168"/>
      <c r="P253" s="1644"/>
      <c r="Q253" s="1644"/>
      <c r="R253" s="1168"/>
      <c r="S253" s="1168"/>
      <c r="T253" s="1168"/>
      <c r="U253" s="1168"/>
      <c r="V253" s="1644"/>
      <c r="W253" s="1168"/>
      <c r="X253" s="1168"/>
      <c r="Y253" s="552"/>
      <c r="Z253" s="1168"/>
      <c r="AA253" s="1168"/>
      <c r="AB253" s="1168"/>
      <c r="AC253" s="1168"/>
      <c r="AD253" s="1168"/>
      <c r="AE253" s="1640"/>
      <c r="AF253" s="574"/>
      <c r="AG253" s="574"/>
      <c r="AH253" s="574"/>
      <c r="AI253" s="574"/>
      <c r="AJ253" s="1649">
        <v>11</v>
      </c>
    </row>
    <row s="1649" customFormat="1" customHeight="1" ht="11.549999999999999">
      <c r="A254" s="995"/>
      <c r="B254" s="1644"/>
      <c r="C254" s="1644"/>
      <c r="D254" s="359"/>
      <c r="J254" s="1649"/>
      <c r="K254" s="1649"/>
      <c r="L254" s="1649"/>
      <c r="M254" s="1649"/>
      <c r="O254" s="1168"/>
      <c r="P254" s="1644"/>
      <c r="Q254" s="1644"/>
      <c r="R254" s="1168"/>
      <c r="S254" s="1168"/>
      <c r="T254" s="1168"/>
      <c r="U254" s="1168"/>
      <c r="V254" s="1644"/>
      <c r="W254" s="1168"/>
      <c r="X254" s="1168"/>
      <c r="Y254" s="552"/>
      <c r="Z254" s="1168"/>
      <c r="AA254" s="1168"/>
      <c r="AB254" s="1168"/>
      <c r="AC254" s="1168"/>
      <c r="AD254" s="1168"/>
      <c r="AE254" s="1640"/>
      <c r="AF254" s="574"/>
      <c r="AG254" s="574"/>
      <c r="AH254" s="574"/>
      <c r="AI254" s="574"/>
      <c r="AJ254" s="1649">
        <v>11</v>
      </c>
    </row>
    <row s="1649" customFormat="1" customHeight="1" ht="11.549999999999999">
      <c r="A255" s="995"/>
      <c r="B255" s="1644"/>
      <c r="C255" s="1644"/>
      <c r="D255" s="359"/>
      <c r="J255" s="1649"/>
      <c r="K255" s="1649"/>
      <c r="L255" s="1649"/>
      <c r="M255" s="1649"/>
      <c r="O255" s="1168"/>
      <c r="P255" s="1644"/>
      <c r="Q255" s="1644"/>
      <c r="R255" s="1168"/>
      <c r="S255" s="1168"/>
      <c r="T255" s="1168"/>
      <c r="U255" s="1168"/>
      <c r="V255" s="1644"/>
      <c r="W255" s="1168"/>
      <c r="X255" s="1168"/>
      <c r="Y255" s="552"/>
      <c r="Z255" s="1168"/>
      <c r="AA255" s="1168"/>
      <c r="AB255" s="1168"/>
      <c r="AC255" s="1168"/>
      <c r="AD255" s="1168"/>
      <c r="AE255" s="1640"/>
      <c r="AF255" s="574"/>
      <c r="AG255" s="574"/>
      <c r="AH255" s="574"/>
      <c r="AI255" s="574"/>
      <c r="AJ255" s="1649">
        <v>11</v>
      </c>
    </row>
    <row s="1649" customFormat="1" customHeight="1" ht="11.549999999999999">
      <c r="A256" s="995"/>
      <c r="B256" s="1644"/>
      <c r="C256" s="1644"/>
      <c r="D256" s="359"/>
      <c r="J256" s="1649"/>
      <c r="K256" s="1649"/>
      <c r="L256" s="1649"/>
      <c r="M256" s="1649"/>
      <c r="O256" s="1168"/>
      <c r="P256" s="1644"/>
      <c r="Q256" s="1644"/>
      <c r="R256" s="1168"/>
      <c r="S256" s="1168"/>
      <c r="T256" s="1168"/>
      <c r="U256" s="1168"/>
      <c r="V256" s="1644"/>
      <c r="W256" s="1168"/>
      <c r="X256" s="1168"/>
      <c r="Y256" s="552"/>
      <c r="Z256" s="1168"/>
      <c r="AA256" s="1168"/>
      <c r="AB256" s="1168"/>
      <c r="AC256" s="1168"/>
      <c r="AD256" s="1168"/>
      <c r="AE256" s="1640"/>
      <c r="AF256" s="574"/>
      <c r="AG256" s="574"/>
      <c r="AH256" s="574"/>
      <c r="AI256" s="574"/>
      <c r="AJ256" s="1649">
        <v>11</v>
      </c>
    </row>
    <row s="1649" customFormat="1" customHeight="1" ht="11.549999999999999">
      <c r="A257" s="995"/>
      <c r="B257" s="1644"/>
      <c r="C257" s="1644"/>
      <c r="D257" s="359"/>
      <c r="J257" s="1649"/>
      <c r="K257" s="1649"/>
      <c r="L257" s="1649"/>
      <c r="M257" s="1649"/>
      <c r="O257" s="1168"/>
      <c r="P257" s="1644"/>
      <c r="Q257" s="1644"/>
      <c r="R257" s="1168"/>
      <c r="S257" s="1168"/>
      <c r="T257" s="1168"/>
      <c r="U257" s="1168"/>
      <c r="V257" s="1644"/>
      <c r="W257" s="1168"/>
      <c r="X257" s="1168"/>
      <c r="Y257" s="552"/>
      <c r="Z257" s="1168"/>
      <c r="AA257" s="1168"/>
      <c r="AB257" s="1168"/>
      <c r="AC257" s="1168"/>
      <c r="AD257" s="1168"/>
      <c r="AE257" s="1640"/>
      <c r="AF257" s="574"/>
      <c r="AG257" s="574"/>
      <c r="AH257" s="574"/>
      <c r="AI257" s="574"/>
      <c r="AJ257" s="1649">
        <v>11</v>
      </c>
    </row>
    <row s="1649" customFormat="1" customHeight="1" ht="11.549999999999999">
      <c r="A258" s="995"/>
      <c r="B258" s="1644"/>
      <c r="C258" s="1644"/>
      <c r="D258" s="359"/>
      <c r="J258" s="1649"/>
      <c r="K258" s="1649"/>
      <c r="L258" s="1649"/>
      <c r="M258" s="1649"/>
      <c r="O258" s="1168"/>
      <c r="P258" s="1644"/>
      <c r="Q258" s="1644"/>
      <c r="R258" s="1168"/>
      <c r="S258" s="1168"/>
      <c r="T258" s="1168"/>
      <c r="U258" s="1168"/>
      <c r="V258" s="1644"/>
      <c r="W258" s="1168"/>
      <c r="X258" s="1168"/>
      <c r="Y258" s="552"/>
      <c r="Z258" s="1168"/>
      <c r="AA258" s="1168"/>
      <c r="AB258" s="1168"/>
      <c r="AC258" s="1168"/>
      <c r="AD258" s="1168"/>
      <c r="AE258" s="1640"/>
      <c r="AF258" s="574"/>
      <c r="AG258" s="574"/>
      <c r="AH258" s="574"/>
      <c r="AI258" s="574"/>
      <c r="AJ258" s="1649">
        <v>11</v>
      </c>
    </row>
    <row s="1649" customFormat="1" customHeight="1" ht="11.549999999999999">
      <c r="A259" s="995"/>
      <c r="B259" s="1644"/>
      <c r="C259" s="1644"/>
      <c r="D259" s="359"/>
      <c r="J259" s="1649"/>
      <c r="K259" s="1649"/>
      <c r="L259" s="1649"/>
      <c r="M259" s="1649"/>
      <c r="O259" s="1168"/>
      <c r="P259" s="1644"/>
      <c r="Q259" s="1644"/>
      <c r="R259" s="1168"/>
      <c r="S259" s="1168"/>
      <c r="T259" s="1168"/>
      <c r="U259" s="1168"/>
      <c r="V259" s="1644"/>
      <c r="W259" s="1168"/>
      <c r="X259" s="1168"/>
      <c r="Y259" s="552"/>
      <c r="Z259" s="1168"/>
      <c r="AA259" s="1168"/>
      <c r="AB259" s="1168"/>
      <c r="AC259" s="1168"/>
      <c r="AD259" s="1168"/>
      <c r="AE259" s="1640"/>
      <c r="AF259" s="574"/>
      <c r="AG259" s="574"/>
      <c r="AH259" s="574"/>
      <c r="AI259" s="574"/>
      <c r="AJ259" s="1649">
        <v>11</v>
      </c>
    </row>
    <row s="1649" customFormat="1" customHeight="1" ht="11.549999999999999">
      <c r="A260" s="995"/>
      <c r="B260" s="1644"/>
      <c r="C260" s="1644"/>
      <c r="D260" s="359"/>
      <c r="J260" s="1649"/>
      <c r="K260" s="1649"/>
      <c r="L260" s="1649"/>
      <c r="M260" s="1649"/>
      <c r="O260" s="1168"/>
      <c r="P260" s="1644"/>
      <c r="Q260" s="1644"/>
      <c r="R260" s="1168"/>
      <c r="S260" s="1168"/>
      <c r="T260" s="1168"/>
      <c r="U260" s="1168"/>
      <c r="V260" s="1644"/>
      <c r="W260" s="1168"/>
      <c r="X260" s="1168"/>
      <c r="Y260" s="552"/>
      <c r="Z260" s="1168"/>
      <c r="AA260" s="1168"/>
      <c r="AB260" s="1168"/>
      <c r="AC260" s="1168"/>
      <c r="AD260" s="1168"/>
      <c r="AE260" s="1640"/>
      <c r="AF260" s="574"/>
      <c r="AG260" s="574"/>
      <c r="AH260" s="574"/>
      <c r="AI260" s="574"/>
      <c r="AJ260" s="1649">
        <v>11</v>
      </c>
    </row>
    <row s="1649" customFormat="1" customHeight="1" ht="11.549999999999999">
      <c r="A261" s="995"/>
      <c r="B261" s="1644"/>
      <c r="C261" s="1644"/>
      <c r="D261" s="359"/>
      <c r="J261" s="1649"/>
      <c r="K261" s="1649"/>
      <c r="L261" s="1649"/>
      <c r="M261" s="1649"/>
      <c r="O261" s="1168"/>
      <c r="P261" s="1644"/>
      <c r="Q261" s="1644"/>
      <c r="R261" s="1168"/>
      <c r="S261" s="1168"/>
      <c r="T261" s="1168"/>
      <c r="U261" s="1168"/>
      <c r="V261" s="1644"/>
      <c r="W261" s="1168"/>
      <c r="X261" s="1168"/>
      <c r="Y261" s="552"/>
      <c r="Z261" s="1168"/>
      <c r="AA261" s="1168"/>
      <c r="AB261" s="1168"/>
      <c r="AC261" s="1168"/>
      <c r="AD261" s="1168"/>
      <c r="AE261" s="1640"/>
      <c r="AF261" s="574"/>
      <c r="AG261" s="574"/>
      <c r="AH261" s="574"/>
      <c r="AI261" s="574"/>
      <c r="AJ261" s="1649">
        <v>11</v>
      </c>
    </row>
    <row s="1649" customFormat="1" customHeight="1" ht="11.549999999999999">
      <c r="A262" s="995"/>
      <c r="B262" s="1644"/>
      <c r="C262" s="1644"/>
      <c r="D262" s="359"/>
      <c r="J262" s="1649"/>
      <c r="K262" s="1649"/>
      <c r="L262" s="1649"/>
      <c r="M262" s="1649"/>
      <c r="O262" s="1168"/>
      <c r="P262" s="1644"/>
      <c r="Q262" s="1644"/>
      <c r="R262" s="1168"/>
      <c r="S262" s="1168"/>
      <c r="T262" s="1168"/>
      <c r="U262" s="1168"/>
      <c r="V262" s="1644"/>
      <c r="W262" s="1168"/>
      <c r="X262" s="1168"/>
      <c r="Y262" s="552"/>
      <c r="Z262" s="1168"/>
      <c r="AA262" s="1168"/>
      <c r="AB262" s="1168"/>
      <c r="AC262" s="1168"/>
      <c r="AD262" s="1168"/>
      <c r="AE262" s="1640"/>
      <c r="AF262" s="574"/>
      <c r="AG262" s="574"/>
      <c r="AH262" s="574"/>
      <c r="AI262" s="574"/>
      <c r="AJ262" s="1649">
        <v>11</v>
      </c>
    </row>
    <row s="1649" customFormat="1" customHeight="1" ht="11.549999999999999">
      <c r="A263" s="995"/>
      <c r="B263" s="1644"/>
      <c r="C263" s="1644"/>
      <c r="D263" s="359"/>
      <c r="J263" s="1649"/>
      <c r="K263" s="1649"/>
      <c r="L263" s="1649"/>
      <c r="M263" s="1649"/>
      <c r="O263" s="1168"/>
      <c r="P263" s="1644"/>
      <c r="Q263" s="1644"/>
      <c r="R263" s="1168"/>
      <c r="S263" s="1168"/>
      <c r="T263" s="1168"/>
      <c r="U263" s="1168"/>
      <c r="V263" s="1644"/>
      <c r="W263" s="1168"/>
      <c r="X263" s="1168"/>
      <c r="Y263" s="552"/>
      <c r="Z263" s="1168"/>
      <c r="AA263" s="1168"/>
      <c r="AB263" s="1168"/>
      <c r="AC263" s="1168"/>
      <c r="AD263" s="1168"/>
      <c r="AE263" s="1640"/>
      <c r="AF263" s="574"/>
      <c r="AG263" s="574"/>
      <c r="AH263" s="574"/>
      <c r="AI263" s="574"/>
      <c r="AJ263" s="1649">
        <v>11</v>
      </c>
    </row>
    <row s="1649" customFormat="1" customHeight="1" ht="11.549999999999999">
      <c r="A264" s="995"/>
      <c r="B264" s="1644"/>
      <c r="C264" s="1644"/>
      <c r="D264" s="359"/>
      <c r="J264" s="1649"/>
      <c r="K264" s="1649"/>
      <c r="L264" s="1649"/>
      <c r="M264" s="1649"/>
      <c r="O264" s="1168"/>
      <c r="P264" s="1644"/>
      <c r="Q264" s="1644"/>
      <c r="R264" s="1168"/>
      <c r="S264" s="1168"/>
      <c r="T264" s="1168"/>
      <c r="U264" s="1168"/>
      <c r="V264" s="1644"/>
      <c r="W264" s="1168"/>
      <c r="X264" s="1168"/>
      <c r="Y264" s="552"/>
      <c r="Z264" s="1168"/>
      <c r="AA264" s="1168"/>
      <c r="AB264" s="1168"/>
      <c r="AC264" s="1168"/>
      <c r="AD264" s="1168"/>
      <c r="AE264" s="1640"/>
      <c r="AF264" s="574"/>
      <c r="AG264" s="574"/>
      <c r="AH264" s="574"/>
      <c r="AI264" s="574"/>
      <c r="AJ264" s="1649">
        <v>11</v>
      </c>
    </row>
    <row s="1649" customFormat="1" customHeight="1" ht="11.549999999999999">
      <c r="A265" s="995"/>
      <c r="B265" s="1644"/>
      <c r="C265" s="1644"/>
      <c r="D265" s="359"/>
      <c r="J265" s="1649"/>
      <c r="K265" s="1649"/>
      <c r="L265" s="1649"/>
      <c r="M265" s="1649"/>
      <c r="O265" s="1168"/>
      <c r="P265" s="1644"/>
      <c r="Q265" s="1644"/>
      <c r="R265" s="1168"/>
      <c r="S265" s="1168"/>
      <c r="T265" s="1168"/>
      <c r="U265" s="1168"/>
      <c r="V265" s="1644"/>
      <c r="W265" s="1168"/>
      <c r="X265" s="1168"/>
      <c r="Y265" s="552"/>
      <c r="Z265" s="1168"/>
      <c r="AA265" s="1168"/>
      <c r="AB265" s="1168"/>
      <c r="AC265" s="1168"/>
      <c r="AD265" s="1168"/>
      <c r="AE265" s="1640"/>
      <c r="AF265" s="574"/>
      <c r="AG265" s="574"/>
      <c r="AH265" s="574"/>
      <c r="AI265" s="574"/>
      <c r="AJ265" s="1649">
        <v>11</v>
      </c>
    </row>
    <row s="1649" customFormat="1" customHeight="1" ht="11.549999999999999">
      <c r="A266" s="995"/>
      <c r="B266" s="1644"/>
      <c r="C266" s="1644"/>
      <c r="D266" s="359"/>
      <c r="J266" s="1649"/>
      <c r="K266" s="1649"/>
      <c r="L266" s="1649"/>
      <c r="M266" s="1649"/>
      <c r="O266" s="1168"/>
      <c r="P266" s="1644"/>
      <c r="Q266" s="1644"/>
      <c r="R266" s="1168"/>
      <c r="S266" s="1168"/>
      <c r="T266" s="1168"/>
      <c r="U266" s="1168"/>
      <c r="V266" s="1644"/>
      <c r="W266" s="1168"/>
      <c r="X266" s="1168"/>
      <c r="Y266" s="552"/>
      <c r="Z266" s="1168"/>
      <c r="AA266" s="1168"/>
      <c r="AB266" s="1168"/>
      <c r="AC266" s="1168"/>
      <c r="AD266" s="1168"/>
      <c r="AE266" s="1640"/>
      <c r="AF266" s="574"/>
      <c r="AG266" s="574"/>
      <c r="AH266" s="574"/>
      <c r="AI266" s="574"/>
      <c r="AJ266" s="1649">
        <v>11</v>
      </c>
    </row>
    <row s="1649" customFormat="1" customHeight="1" ht="11.549999999999999">
      <c r="A267" s="995"/>
      <c r="B267" s="1644"/>
      <c r="C267" s="1644"/>
      <c r="D267" s="359"/>
      <c r="J267" s="1649"/>
      <c r="K267" s="1649"/>
      <c r="L267" s="1649"/>
      <c r="M267" s="1649"/>
      <c r="O267" s="1168"/>
      <c r="P267" s="1644"/>
      <c r="Q267" s="1644"/>
      <c r="R267" s="1168"/>
      <c r="S267" s="1168"/>
      <c r="T267" s="1168"/>
      <c r="U267" s="1168"/>
      <c r="V267" s="1644"/>
      <c r="W267" s="1168"/>
      <c r="X267" s="1168"/>
      <c r="Y267" s="552"/>
      <c r="Z267" s="1168"/>
      <c r="AA267" s="1168"/>
      <c r="AB267" s="1168"/>
      <c r="AC267" s="1168"/>
      <c r="AD267" s="1168"/>
      <c r="AE267" s="1640"/>
      <c r="AF267" s="574"/>
      <c r="AG267" s="574"/>
      <c r="AH267" s="574"/>
      <c r="AI267" s="574"/>
      <c r="AJ267" s="1649">
        <v>11</v>
      </c>
    </row>
    <row s="1649" customFormat="1" customHeight="1" ht="11.549999999999999">
      <c r="A268" s="995"/>
      <c r="B268" s="1644"/>
      <c r="C268" s="1644"/>
      <c r="D268" s="359"/>
      <c r="J268" s="1649"/>
      <c r="K268" s="1649"/>
      <c r="L268" s="1649"/>
      <c r="M268" s="1649"/>
      <c r="O268" s="1168"/>
      <c r="P268" s="1644"/>
      <c r="Q268" s="1644"/>
      <c r="R268" s="1168"/>
      <c r="S268" s="1168"/>
      <c r="T268" s="1168"/>
      <c r="U268" s="1168"/>
      <c r="V268" s="1644"/>
      <c r="W268" s="1168"/>
      <c r="X268" s="1168"/>
      <c r="Y268" s="552"/>
      <c r="Z268" s="1168"/>
      <c r="AA268" s="1168"/>
      <c r="AB268" s="1168"/>
      <c r="AC268" s="1168"/>
      <c r="AD268" s="1168"/>
      <c r="AE268" s="1640"/>
      <c r="AF268" s="574"/>
      <c r="AG268" s="574"/>
      <c r="AH268" s="574"/>
      <c r="AI268" s="574"/>
      <c r="AJ268" s="1649">
        <v>11</v>
      </c>
    </row>
    <row s="1649" customFormat="1" customHeight="1" ht="11.549999999999999">
      <c r="A269" s="995"/>
      <c r="B269" s="1644"/>
      <c r="C269" s="1644"/>
      <c r="D269" s="359"/>
      <c r="J269" s="1649"/>
      <c r="K269" s="1649"/>
      <c r="L269" s="1649"/>
      <c r="M269" s="1649"/>
      <c r="O269" s="1168"/>
      <c r="P269" s="1644"/>
      <c r="Q269" s="1644"/>
      <c r="R269" s="1168"/>
      <c r="S269" s="1168"/>
      <c r="T269" s="1168"/>
      <c r="U269" s="1168"/>
      <c r="V269" s="1644"/>
      <c r="W269" s="1168"/>
      <c r="X269" s="1168"/>
      <c r="Y269" s="552"/>
      <c r="Z269" s="1168"/>
      <c r="AA269" s="1168"/>
      <c r="AB269" s="1168"/>
      <c r="AC269" s="1168"/>
      <c r="AD269" s="1168"/>
      <c r="AE269" s="1640"/>
      <c r="AF269" s="574"/>
      <c r="AG269" s="574"/>
      <c r="AH269" s="574"/>
      <c r="AI269" s="574"/>
      <c r="AJ269" s="1649">
        <v>11</v>
      </c>
    </row>
    <row s="1649" customFormat="1" customHeight="1" ht="11.549999999999999">
      <c r="A270" s="995"/>
      <c r="B270" s="1644"/>
      <c r="C270" s="1644"/>
      <c r="D270" s="359"/>
      <c r="J270" s="1649"/>
      <c r="K270" s="1649"/>
      <c r="L270" s="1649"/>
      <c r="M270" s="1649"/>
      <c r="O270" s="1168"/>
      <c r="P270" s="1644"/>
      <c r="Q270" s="1644"/>
      <c r="R270" s="1168"/>
      <c r="S270" s="1168"/>
      <c r="T270" s="1168"/>
      <c r="U270" s="1168"/>
      <c r="V270" s="1644"/>
      <c r="W270" s="1168"/>
      <c r="X270" s="1168"/>
      <c r="Y270" s="552"/>
      <c r="Z270" s="1168"/>
      <c r="AA270" s="1168"/>
      <c r="AB270" s="1168"/>
      <c r="AC270" s="1168"/>
      <c r="AD270" s="1168"/>
      <c r="AE270" s="1640"/>
      <c r="AF270" s="574"/>
      <c r="AG270" s="574"/>
      <c r="AH270" s="574"/>
      <c r="AI270" s="574"/>
      <c r="AJ270" s="1649">
        <v>11</v>
      </c>
    </row>
    <row s="1649" customFormat="1" customHeight="1" ht="11.549999999999999">
      <c r="A271" s="995"/>
      <c r="B271" s="1644"/>
      <c r="C271" s="1644"/>
      <c r="D271" s="359"/>
      <c r="J271" s="1649"/>
      <c r="K271" s="1649"/>
      <c r="L271" s="1649"/>
      <c r="M271" s="1649"/>
      <c r="O271" s="1168"/>
      <c r="P271" s="1644"/>
      <c r="Q271" s="1644"/>
      <c r="R271" s="1168"/>
      <c r="S271" s="1168"/>
      <c r="T271" s="1168"/>
      <c r="U271" s="1168"/>
      <c r="V271" s="1644"/>
      <c r="W271" s="1168"/>
      <c r="X271" s="1168"/>
      <c r="Y271" s="552"/>
      <c r="Z271" s="1168"/>
      <c r="AA271" s="1168"/>
      <c r="AB271" s="1168"/>
      <c r="AC271" s="1168"/>
      <c r="AD271" s="1168"/>
      <c r="AE271" s="1640"/>
      <c r="AF271" s="574"/>
      <c r="AG271" s="574"/>
      <c r="AH271" s="574"/>
      <c r="AI271" s="574"/>
      <c r="AJ271" s="1649">
        <v>11</v>
      </c>
    </row>
    <row s="1649" customFormat="1" customHeight="1" ht="11.549999999999999">
      <c r="A272" s="995"/>
      <c r="B272" s="1644"/>
      <c r="C272" s="1644"/>
      <c r="D272" s="359"/>
      <c r="J272" s="1649"/>
      <c r="K272" s="1649"/>
      <c r="L272" s="1649"/>
      <c r="M272" s="1649"/>
      <c r="O272" s="1168"/>
      <c r="P272" s="1644"/>
      <c r="Q272" s="1644"/>
      <c r="R272" s="1168"/>
      <c r="S272" s="1168"/>
      <c r="T272" s="1168"/>
      <c r="U272" s="1168"/>
      <c r="V272" s="1644"/>
      <c r="W272" s="1168"/>
      <c r="X272" s="1168"/>
      <c r="Y272" s="552"/>
      <c r="Z272" s="1168"/>
      <c r="AA272" s="1168"/>
      <c r="AB272" s="1168"/>
      <c r="AC272" s="1168"/>
      <c r="AD272" s="1168"/>
      <c r="AE272" s="1640"/>
      <c r="AF272" s="574"/>
      <c r="AG272" s="574"/>
      <c r="AH272" s="574"/>
      <c r="AI272" s="574"/>
      <c r="AJ272" s="1649">
        <v>11</v>
      </c>
    </row>
    <row s="1649" customFormat="1" customHeight="1" ht="11.549999999999999">
      <c r="A273" s="995"/>
      <c r="B273" s="1644"/>
      <c r="C273" s="1644"/>
      <c r="D273" s="359"/>
      <c r="J273" s="1649"/>
      <c r="K273" s="1649"/>
      <c r="L273" s="1649"/>
      <c r="M273" s="1649"/>
      <c r="O273" s="1168"/>
      <c r="P273" s="1644"/>
      <c r="Q273" s="1644"/>
      <c r="R273" s="1168"/>
      <c r="S273" s="1168"/>
      <c r="T273" s="1168"/>
      <c r="U273" s="1168"/>
      <c r="V273" s="1644"/>
      <c r="W273" s="1168"/>
      <c r="X273" s="1168"/>
      <c r="Y273" s="552"/>
      <c r="Z273" s="1168"/>
      <c r="AA273" s="1168"/>
      <c r="AB273" s="1168"/>
      <c r="AC273" s="1168"/>
      <c r="AD273" s="1168"/>
      <c r="AE273" s="1640"/>
      <c r="AF273" s="574"/>
      <c r="AG273" s="574"/>
      <c r="AH273" s="574"/>
      <c r="AI273" s="574"/>
      <c r="AJ273" s="1649">
        <v>11</v>
      </c>
    </row>
    <row s="1649" customFormat="1" customHeight="1" ht="11.549999999999999">
      <c r="A274" s="995"/>
      <c r="B274" s="1644"/>
      <c r="C274" s="1644"/>
      <c r="D274" s="359"/>
      <c r="J274" s="1649"/>
      <c r="K274" s="1649"/>
      <c r="L274" s="1649"/>
      <c r="M274" s="1649"/>
      <c r="O274" s="1168"/>
      <c r="P274" s="1644"/>
      <c r="Q274" s="1644"/>
      <c r="R274" s="1168"/>
      <c r="S274" s="1168"/>
      <c r="T274" s="1168"/>
      <c r="U274" s="1168"/>
      <c r="V274" s="1644"/>
      <c r="W274" s="1168"/>
      <c r="X274" s="1168"/>
      <c r="Y274" s="552"/>
      <c r="Z274" s="1168"/>
      <c r="AA274" s="1168"/>
      <c r="AB274" s="1168"/>
      <c r="AC274" s="1168"/>
      <c r="AD274" s="1168"/>
      <c r="AE274" s="1640"/>
      <c r="AF274" s="574"/>
      <c r="AG274" s="574"/>
      <c r="AH274" s="574"/>
      <c r="AI274" s="574"/>
      <c r="AJ274" s="1649">
        <v>11</v>
      </c>
    </row>
    <row s="1649" customFormat="1" customHeight="1" ht="11.549999999999999">
      <c r="A275" s="995"/>
      <c r="B275" s="1644"/>
      <c r="C275" s="1644"/>
      <c r="D275" s="359"/>
      <c r="J275" s="1649"/>
      <c r="K275" s="1649"/>
      <c r="L275" s="1649"/>
      <c r="M275" s="1649"/>
      <c r="O275" s="1168"/>
      <c r="P275" s="1644"/>
      <c r="Q275" s="1644"/>
      <c r="R275" s="1168"/>
      <c r="S275" s="1168"/>
      <c r="T275" s="1168"/>
      <c r="U275" s="1168"/>
      <c r="V275" s="1644"/>
      <c r="W275" s="1168"/>
      <c r="X275" s="1168"/>
      <c r="Y275" s="552"/>
      <c r="Z275" s="1168"/>
      <c r="AA275" s="1168"/>
      <c r="AB275" s="1168"/>
      <c r="AC275" s="1168"/>
      <c r="AD275" s="1168"/>
      <c r="AE275" s="1640"/>
      <c r="AF275" s="574"/>
      <c r="AG275" s="574"/>
      <c r="AH275" s="574"/>
      <c r="AI275" s="574"/>
      <c r="AJ275" s="1649">
        <v>11</v>
      </c>
    </row>
    <row s="1649" customFormat="1" customHeight="1" ht="11.549999999999999">
      <c r="A276" s="995"/>
      <c r="B276" s="1644"/>
      <c r="C276" s="1644"/>
      <c r="D276" s="359"/>
      <c r="J276" s="1649"/>
      <c r="K276" s="1649"/>
      <c r="L276" s="1649"/>
      <c r="M276" s="1649"/>
      <c r="O276" s="1168"/>
      <c r="P276" s="1644"/>
      <c r="Q276" s="1644"/>
      <c r="R276" s="1168"/>
      <c r="S276" s="1168"/>
      <c r="T276" s="1168"/>
      <c r="U276" s="1168"/>
      <c r="V276" s="1644"/>
      <c r="W276" s="1168"/>
      <c r="X276" s="1168"/>
      <c r="Y276" s="552"/>
      <c r="Z276" s="1168"/>
      <c r="AA276" s="1168"/>
      <c r="AB276" s="1168"/>
      <c r="AC276" s="1168"/>
      <c r="AD276" s="1168"/>
      <c r="AE276" s="1640"/>
      <c r="AF276" s="574"/>
      <c r="AG276" s="574"/>
      <c r="AH276" s="574"/>
      <c r="AI276" s="574"/>
      <c r="AJ276" s="1649">
        <v>11</v>
      </c>
    </row>
    <row s="1649" customFormat="1" customHeight="1" ht="11.549999999999999">
      <c r="A277" s="995"/>
      <c r="B277" s="1644"/>
      <c r="C277" s="1644"/>
      <c r="D277" s="359"/>
      <c r="J277" s="1649"/>
      <c r="K277" s="1649"/>
      <c r="L277" s="1649"/>
      <c r="M277" s="1649"/>
      <c r="O277" s="1168"/>
      <c r="P277" s="1644"/>
      <c r="Q277" s="1644"/>
      <c r="R277" s="1168"/>
      <c r="S277" s="1168"/>
      <c r="T277" s="1168"/>
      <c r="U277" s="1168"/>
      <c r="V277" s="1644"/>
      <c r="W277" s="1168"/>
      <c r="X277" s="1168"/>
      <c r="Y277" s="552"/>
      <c r="Z277" s="1168"/>
      <c r="AA277" s="1168"/>
      <c r="AB277" s="1168"/>
      <c r="AC277" s="1168"/>
      <c r="AD277" s="1168"/>
      <c r="AE277" s="1640"/>
      <c r="AF277" s="574"/>
      <c r="AG277" s="574"/>
      <c r="AH277" s="574"/>
      <c r="AI277" s="574"/>
      <c r="AJ277" s="1649">
        <v>11</v>
      </c>
    </row>
    <row s="1649" customFormat="1" customHeight="1" ht="11.549999999999999">
      <c r="A278" s="995"/>
      <c r="B278" s="1644"/>
      <c r="C278" s="1644"/>
      <c r="D278" s="359"/>
      <c r="J278" s="1649"/>
      <c r="K278" s="1649"/>
      <c r="L278" s="1649"/>
      <c r="M278" s="1649"/>
      <c r="O278" s="1168"/>
      <c r="P278" s="1644"/>
      <c r="Q278" s="1644"/>
      <c r="R278" s="1168"/>
      <c r="S278" s="1168"/>
      <c r="T278" s="1168"/>
      <c r="U278" s="1168"/>
      <c r="V278" s="1644"/>
      <c r="W278" s="1168"/>
      <c r="X278" s="1168"/>
      <c r="Y278" s="552"/>
      <c r="Z278" s="1168"/>
      <c r="AA278" s="1168"/>
      <c r="AB278" s="1168"/>
      <c r="AC278" s="1168"/>
      <c r="AD278" s="1168"/>
      <c r="AE278" s="1640"/>
      <c r="AF278" s="574"/>
      <c r="AG278" s="574"/>
      <c r="AH278" s="574"/>
      <c r="AI278" s="574"/>
      <c r="AJ278" s="1649">
        <v>11</v>
      </c>
    </row>
    <row s="1649" customFormat="1" customHeight="1" ht="11.549999999999999">
      <c r="A279" s="995"/>
      <c r="B279" s="1644"/>
      <c r="C279" s="1644"/>
      <c r="D279" s="359"/>
      <c r="J279" s="1649"/>
      <c r="K279" s="1649"/>
      <c r="L279" s="1649"/>
      <c r="M279" s="1649"/>
      <c r="O279" s="1168"/>
      <c r="P279" s="1644"/>
      <c r="Q279" s="1644"/>
      <c r="R279" s="1168"/>
      <c r="S279" s="1168"/>
      <c r="T279" s="1168"/>
      <c r="U279" s="1168"/>
      <c r="V279" s="1644"/>
      <c r="W279" s="1168"/>
      <c r="X279" s="1168"/>
      <c r="Y279" s="552"/>
      <c r="Z279" s="1168"/>
      <c r="AA279" s="1168"/>
      <c r="AB279" s="1168"/>
      <c r="AC279" s="1168"/>
      <c r="AD279" s="1168"/>
      <c r="AE279" s="1640"/>
      <c r="AF279" s="574"/>
      <c r="AG279" s="574"/>
      <c r="AH279" s="574"/>
      <c r="AI279" s="574"/>
      <c r="AJ279" s="1649">
        <v>11</v>
      </c>
    </row>
    <row s="1649" customFormat="1" customHeight="1" ht="11.549999999999999">
      <c r="A280" s="995"/>
      <c r="B280" s="1644"/>
      <c r="C280" s="1644"/>
      <c r="D280" s="359"/>
      <c r="J280" s="1649"/>
      <c r="K280" s="1649"/>
      <c r="L280" s="1649"/>
      <c r="M280" s="1649"/>
      <c r="O280" s="1168"/>
      <c r="P280" s="1644"/>
      <c r="Q280" s="1644"/>
      <c r="R280" s="1168"/>
      <c r="S280" s="1168"/>
      <c r="T280" s="1168"/>
      <c r="U280" s="1168"/>
      <c r="V280" s="1644"/>
      <c r="W280" s="1168"/>
      <c r="X280" s="1168"/>
      <c r="Y280" s="552"/>
      <c r="Z280" s="1168"/>
      <c r="AA280" s="1168"/>
      <c r="AB280" s="1168"/>
      <c r="AC280" s="1168"/>
      <c r="AD280" s="1168"/>
      <c r="AE280" s="1640"/>
      <c r="AF280" s="574"/>
      <c r="AG280" s="574"/>
      <c r="AH280" s="574"/>
      <c r="AI280" s="574"/>
      <c r="AJ280" s="1649">
        <v>11</v>
      </c>
    </row>
    <row s="1649" customFormat="1" customHeight="1" ht="11.549999999999999">
      <c r="A281" s="995"/>
      <c r="B281" s="1644"/>
      <c r="C281" s="1644"/>
      <c r="D281" s="359"/>
      <c r="J281" s="1649"/>
      <c r="K281" s="1649"/>
      <c r="L281" s="1649"/>
      <c r="M281" s="1649"/>
      <c r="O281" s="1168"/>
      <c r="P281" s="1644"/>
      <c r="Q281" s="1644"/>
      <c r="R281" s="1168"/>
      <c r="S281" s="1168"/>
      <c r="T281" s="1168"/>
      <c r="U281" s="1168"/>
      <c r="V281" s="1644"/>
      <c r="W281" s="1168"/>
      <c r="X281" s="1168"/>
      <c r="Y281" s="552"/>
      <c r="Z281" s="1168"/>
      <c r="AA281" s="1168"/>
      <c r="AB281" s="1168"/>
      <c r="AC281" s="1168"/>
      <c r="AD281" s="1168"/>
      <c r="AE281" s="1640"/>
      <c r="AF281" s="574"/>
      <c r="AG281" s="574"/>
      <c r="AH281" s="574"/>
      <c r="AI281" s="574"/>
      <c r="AJ281" s="1649">
        <v>11</v>
      </c>
    </row>
    <row s="1649" customFormat="1" customHeight="1" ht="11.549999999999999">
      <c r="A282" s="995"/>
      <c r="B282" s="1644"/>
      <c r="C282" s="1644"/>
      <c r="D282" s="359"/>
      <c r="J282" s="1649"/>
      <c r="K282" s="1649"/>
      <c r="L282" s="1649"/>
      <c r="M282" s="1649"/>
      <c r="O282" s="1168"/>
      <c r="P282" s="1644"/>
      <c r="Q282" s="1644"/>
      <c r="R282" s="1168"/>
      <c r="S282" s="1168"/>
      <c r="T282" s="1168"/>
      <c r="U282" s="1168"/>
      <c r="V282" s="1644"/>
      <c r="W282" s="1168"/>
      <c r="X282" s="1168"/>
      <c r="Y282" s="552"/>
      <c r="Z282" s="1168"/>
      <c r="AA282" s="1168"/>
      <c r="AB282" s="1168"/>
      <c r="AC282" s="1168"/>
      <c r="AD282" s="1168"/>
      <c r="AE282" s="1640"/>
      <c r="AF282" s="574"/>
      <c r="AG282" s="574"/>
      <c r="AH282" s="574"/>
      <c r="AI282" s="574"/>
      <c r="AJ282" s="1649">
        <v>11</v>
      </c>
    </row>
    <row s="1649" customFormat="1" customHeight="1" ht="11.549999999999999">
      <c r="A283" s="995"/>
      <c r="B283" s="1644"/>
      <c r="C283" s="1644"/>
      <c r="D283" s="359"/>
      <c r="J283" s="1649"/>
      <c r="K283" s="1649"/>
      <c r="L283" s="1649"/>
      <c r="M283" s="1649"/>
      <c r="O283" s="1168"/>
      <c r="P283" s="1644"/>
      <c r="Q283" s="1644"/>
      <c r="R283" s="1168"/>
      <c r="S283" s="1168"/>
      <c r="T283" s="1168"/>
      <c r="U283" s="1168"/>
      <c r="V283" s="1644"/>
      <c r="W283" s="1168"/>
      <c r="X283" s="1168"/>
      <c r="Y283" s="552"/>
      <c r="Z283" s="1168"/>
      <c r="AA283" s="1168"/>
      <c r="AB283" s="1168"/>
      <c r="AC283" s="1168"/>
      <c r="AD283" s="1168"/>
      <c r="AE283" s="1640"/>
      <c r="AF283" s="574"/>
      <c r="AG283" s="574"/>
      <c r="AH283" s="574"/>
      <c r="AI283" s="574"/>
      <c r="AJ283" s="1649">
        <v>11</v>
      </c>
    </row>
    <row s="1649" customFormat="1" customHeight="1" ht="11.549999999999999">
      <c r="A284" s="995"/>
      <c r="B284" s="1644"/>
      <c r="C284" s="1644"/>
      <c r="D284" s="359"/>
      <c r="J284" s="1649"/>
      <c r="K284" s="1649"/>
      <c r="L284" s="1649"/>
      <c r="M284" s="1649"/>
      <c r="O284" s="1168"/>
      <c r="P284" s="1644"/>
      <c r="Q284" s="1644"/>
      <c r="R284" s="1168"/>
      <c r="S284" s="1168"/>
      <c r="T284" s="1168"/>
      <c r="U284" s="1168"/>
      <c r="V284" s="1644"/>
      <c r="W284" s="1168"/>
      <c r="X284" s="1168"/>
      <c r="Y284" s="552"/>
      <c r="Z284" s="1168"/>
      <c r="AA284" s="1168"/>
      <c r="AB284" s="1168"/>
      <c r="AC284" s="1168"/>
      <c r="AD284" s="1168"/>
      <c r="AE284" s="1640"/>
      <c r="AF284" s="574"/>
      <c r="AG284" s="574"/>
      <c r="AH284" s="574"/>
      <c r="AI284" s="574"/>
      <c r="AJ284" s="1649">
        <v>11</v>
      </c>
    </row>
    <row s="1649" customFormat="1" customHeight="1" ht="11.549999999999999">
      <c r="A285" s="995"/>
      <c r="B285" s="1644"/>
      <c r="C285" s="1644"/>
      <c r="D285" s="359"/>
      <c r="J285" s="1649"/>
      <c r="K285" s="1649"/>
      <c r="L285" s="1649"/>
      <c r="M285" s="1649"/>
      <c r="O285" s="1168"/>
      <c r="P285" s="1644"/>
      <c r="Q285" s="1644"/>
      <c r="R285" s="1168"/>
      <c r="S285" s="1168"/>
      <c r="T285" s="1168"/>
      <c r="U285" s="1168"/>
      <c r="V285" s="1644"/>
      <c r="W285" s="1168"/>
      <c r="X285" s="1168"/>
      <c r="Y285" s="552"/>
      <c r="Z285" s="1168"/>
      <c r="AA285" s="1168"/>
      <c r="AB285" s="1168"/>
      <c r="AC285" s="1168"/>
      <c r="AD285" s="1168"/>
      <c r="AE285" s="1640"/>
      <c r="AF285" s="574"/>
      <c r="AG285" s="574"/>
      <c r="AH285" s="574"/>
      <c r="AI285" s="574"/>
      <c r="AJ285" s="1649">
        <v>11</v>
      </c>
    </row>
    <row s="1649" customFormat="1" customHeight="1" ht="11.549999999999999">
      <c r="A286" s="995"/>
      <c r="B286" s="1644"/>
      <c r="C286" s="1644"/>
      <c r="D286" s="359"/>
      <c r="J286" s="1649"/>
      <c r="K286" s="1649"/>
      <c r="L286" s="1649"/>
      <c r="M286" s="1649"/>
      <c r="O286" s="1168"/>
      <c r="P286" s="1644"/>
      <c r="Q286" s="1644"/>
      <c r="R286" s="1168"/>
      <c r="S286" s="1168"/>
      <c r="T286" s="1168"/>
      <c r="U286" s="1168"/>
      <c r="V286" s="1644"/>
      <c r="W286" s="1168"/>
      <c r="X286" s="1168"/>
      <c r="Y286" s="552"/>
      <c r="Z286" s="1168"/>
      <c r="AA286" s="1168"/>
      <c r="AB286" s="1168"/>
      <c r="AC286" s="1168"/>
      <c r="AD286" s="1168"/>
      <c r="AE286" s="1640"/>
      <c r="AF286" s="574"/>
      <c r="AG286" s="574"/>
      <c r="AH286" s="574"/>
      <c r="AI286" s="574"/>
      <c r="AJ286" s="1649">
        <v>11</v>
      </c>
    </row>
    <row s="1649" customFormat="1" customHeight="1" ht="11.549999999999999">
      <c r="A287" s="995"/>
      <c r="B287" s="1644"/>
      <c r="C287" s="1644"/>
      <c r="D287" s="359"/>
      <c r="J287" s="1649"/>
      <c r="K287" s="1649"/>
      <c r="L287" s="1649"/>
      <c r="M287" s="1649"/>
      <c r="O287" s="1168"/>
      <c r="P287" s="1644"/>
      <c r="Q287" s="1644"/>
      <c r="R287" s="1168"/>
      <c r="S287" s="1168"/>
      <c r="T287" s="1168"/>
      <c r="U287" s="1168"/>
      <c r="V287" s="1644"/>
      <c r="W287" s="1168"/>
      <c r="X287" s="1168"/>
      <c r="Y287" s="552"/>
      <c r="Z287" s="1168"/>
      <c r="AA287" s="1168"/>
      <c r="AB287" s="1168"/>
      <c r="AC287" s="1168"/>
      <c r="AD287" s="1168"/>
      <c r="AE287" s="1640"/>
      <c r="AF287" s="574"/>
      <c r="AG287" s="574"/>
      <c r="AH287" s="574"/>
      <c r="AI287" s="574"/>
      <c r="AJ287" s="1649">
        <v>11</v>
      </c>
    </row>
    <row s="1649" customFormat="1" customHeight="1" ht="11.549999999999999">
      <c r="A288" s="995"/>
      <c r="B288" s="1644"/>
      <c r="C288" s="1644"/>
      <c r="D288" s="359"/>
      <c r="J288" s="1649"/>
      <c r="K288" s="1649"/>
      <c r="L288" s="1649"/>
      <c r="M288" s="1649"/>
      <c r="O288" s="1168"/>
      <c r="P288" s="1644"/>
      <c r="Q288" s="1644"/>
      <c r="R288" s="1168"/>
      <c r="S288" s="1168"/>
      <c r="T288" s="1168"/>
      <c r="U288" s="1168"/>
      <c r="V288" s="1644"/>
      <c r="W288" s="1168"/>
      <c r="X288" s="1168"/>
      <c r="Y288" s="552"/>
      <c r="Z288" s="1168"/>
      <c r="AA288" s="1168"/>
      <c r="AB288" s="1168"/>
      <c r="AC288" s="1168"/>
      <c r="AD288" s="1168"/>
      <c r="AE288" s="1640"/>
      <c r="AF288" s="574"/>
      <c r="AG288" s="574"/>
      <c r="AH288" s="574"/>
      <c r="AI288" s="574"/>
      <c r="AJ288" s="1649">
        <v>11</v>
      </c>
    </row>
    <row customHeight="1" ht="11.549999999999999">
      <c r="J289" s="1643"/>
      <c r="K289" s="1643"/>
      <c r="L289" s="1643"/>
      <c r="M289" s="1643"/>
      <c r="AJ289" s="1639">
        <v>11</v>
      </c>
    </row>
    <row customHeight="1" ht="11.549999999999999">
      <c r="J290" s="1643"/>
      <c r="K290" s="1643"/>
      <c r="L290" s="1643"/>
      <c r="M290" s="1643"/>
      <c r="AJ290" s="1639">
        <v>11</v>
      </c>
    </row>
    <row customHeight="1" ht="11.549999999999999">
      <c r="J291" s="1643"/>
      <c r="K291" s="1643"/>
      <c r="L291" s="1643"/>
      <c r="M291" s="1643"/>
      <c r="AJ291" s="1639">
        <v>11</v>
      </c>
    </row>
    <row customHeight="1" ht="11.549999999999999">
      <c r="A292" s="998"/>
      <c r="B292" s="1639"/>
      <c r="D292" s="1639"/>
      <c r="J292" s="1643"/>
      <c r="K292" s="1643"/>
      <c r="L292" s="1643"/>
      <c r="M292" s="1643"/>
      <c r="O292" s="1639"/>
      <c r="R292" s="1639"/>
      <c r="S292" s="1639"/>
      <c r="T292" s="1639"/>
      <c r="U292" s="1639"/>
      <c r="W292" s="1639"/>
      <c r="X292" s="1639"/>
      <c r="Y292" s="1639"/>
      <c r="Z292" s="1639"/>
      <c r="AA292" s="1639"/>
      <c r="AB292" s="1639"/>
      <c r="AC292" s="1639"/>
      <c r="AD292" s="1639"/>
      <c r="AE292" s="1639"/>
      <c r="AF292" s="1639"/>
      <c r="AG292" s="1639"/>
      <c r="AH292" s="1639"/>
      <c r="AI292" s="1639"/>
      <c r="AJ292" s="1639">
        <v>11</v>
      </c>
    </row>
    <row customHeight="1" ht="11.549999999999999">
      <c r="A293" s="998"/>
      <c r="B293" s="1639"/>
      <c r="D293" s="1639"/>
      <c r="J293" s="1643"/>
      <c r="K293" s="1643"/>
      <c r="L293" s="1643"/>
      <c r="M293" s="1643"/>
      <c r="O293" s="1639"/>
      <c r="R293" s="1639"/>
      <c r="S293" s="1639"/>
      <c r="T293" s="1639"/>
      <c r="U293" s="1639"/>
      <c r="W293" s="1639"/>
      <c r="X293" s="1639"/>
      <c r="Y293" s="1639"/>
      <c r="Z293" s="1639"/>
      <c r="AA293" s="1639"/>
      <c r="AB293" s="1639"/>
      <c r="AC293" s="1639"/>
      <c r="AD293" s="1639"/>
      <c r="AE293" s="1639"/>
      <c r="AF293" s="1639"/>
      <c r="AG293" s="1639"/>
      <c r="AH293" s="1639"/>
      <c r="AI293" s="1639"/>
      <c r="AJ293" s="1639">
        <v>11</v>
      </c>
    </row>
    <row customHeight="1" ht="11.549999999999999">
      <c r="A294" s="998"/>
      <c r="B294" s="1639"/>
      <c r="D294" s="1639"/>
      <c r="J294" s="1643"/>
      <c r="K294" s="1643"/>
      <c r="L294" s="1643"/>
      <c r="M294" s="1643"/>
      <c r="O294" s="1639"/>
      <c r="R294" s="1639"/>
      <c r="S294" s="1639"/>
      <c r="T294" s="1639"/>
      <c r="U294" s="1639"/>
      <c r="W294" s="1639"/>
      <c r="X294" s="1639"/>
      <c r="Y294" s="1639"/>
      <c r="Z294" s="1639"/>
      <c r="AA294" s="1639"/>
      <c r="AB294" s="1639"/>
      <c r="AC294" s="1639"/>
      <c r="AD294" s="1639"/>
      <c r="AE294" s="1639"/>
      <c r="AF294" s="1639"/>
      <c r="AG294" s="1639"/>
      <c r="AH294" s="1639"/>
      <c r="AI294" s="1639"/>
      <c r="AJ294" s="1639">
        <v>11</v>
      </c>
    </row>
    <row customHeight="1" ht="11.549999999999999">
      <c r="A295" s="998"/>
      <c r="B295" s="1639"/>
      <c r="D295" s="1639"/>
      <c r="J295" s="1643"/>
      <c r="K295" s="1643"/>
      <c r="L295" s="1643"/>
      <c r="M295" s="1643"/>
      <c r="O295" s="1639"/>
      <c r="R295" s="1639"/>
      <c r="S295" s="1639"/>
      <c r="T295" s="1639"/>
      <c r="U295" s="1639"/>
      <c r="W295" s="1639"/>
      <c r="X295" s="1639"/>
      <c r="Y295" s="1639"/>
      <c r="Z295" s="1639"/>
      <c r="AA295" s="1639"/>
      <c r="AB295" s="1639"/>
      <c r="AC295" s="1639"/>
      <c r="AD295" s="1639"/>
      <c r="AE295" s="1639"/>
      <c r="AF295" s="1639"/>
      <c r="AG295" s="1639"/>
      <c r="AH295" s="1639"/>
      <c r="AI295" s="1639"/>
      <c r="AJ295" s="1639">
        <v>11</v>
      </c>
    </row>
    <row customHeight="1" ht="11.549999999999999">
      <c r="A296" s="998"/>
      <c r="B296" s="1639"/>
      <c r="D296" s="1639"/>
      <c r="J296" s="1643"/>
      <c r="K296" s="1643"/>
      <c r="L296" s="1643"/>
      <c r="M296" s="1643"/>
      <c r="O296" s="1639"/>
      <c r="R296" s="1639"/>
      <c r="S296" s="1639"/>
      <c r="T296" s="1639"/>
      <c r="U296" s="1639"/>
      <c r="W296" s="1639"/>
      <c r="X296" s="1639"/>
      <c r="Y296" s="1639"/>
      <c r="Z296" s="1639"/>
      <c r="AA296" s="1639"/>
      <c r="AB296" s="1639"/>
      <c r="AC296" s="1639"/>
      <c r="AD296" s="1639"/>
      <c r="AE296" s="1639"/>
      <c r="AF296" s="1639"/>
      <c r="AG296" s="1639"/>
      <c r="AH296" s="1639"/>
      <c r="AI296" s="1639"/>
      <c r="AJ296" s="1639">
        <v>11</v>
      </c>
    </row>
    <row customHeight="1" ht="11.549999999999999">
      <c r="A297" s="998"/>
      <c r="B297" s="1639"/>
      <c r="D297" s="1639"/>
      <c r="J297" s="1643"/>
      <c r="K297" s="1643"/>
      <c r="L297" s="1643"/>
      <c r="M297" s="1643"/>
      <c r="O297" s="1639"/>
      <c r="R297" s="1639"/>
      <c r="S297" s="1639"/>
      <c r="T297" s="1639"/>
      <c r="U297" s="1639"/>
      <c r="W297" s="1639"/>
      <c r="X297" s="1639"/>
      <c r="Y297" s="1639"/>
      <c r="Z297" s="1639"/>
      <c r="AA297" s="1639"/>
      <c r="AB297" s="1639"/>
      <c r="AC297" s="1639"/>
      <c r="AD297" s="1639"/>
      <c r="AE297" s="1639"/>
      <c r="AF297" s="1639"/>
      <c r="AG297" s="1639"/>
      <c r="AH297" s="1639"/>
      <c r="AI297" s="1639"/>
      <c r="AJ297" s="1639">
        <v>11</v>
      </c>
    </row>
    <row customHeight="1" ht="11.549999999999999">
      <c r="A298" s="998"/>
      <c r="B298" s="1639"/>
      <c r="D298" s="1639"/>
      <c r="J298" s="1643"/>
      <c r="K298" s="1643"/>
      <c r="L298" s="1643"/>
      <c r="M298" s="1643"/>
      <c r="O298" s="1639"/>
      <c r="R298" s="1639"/>
      <c r="S298" s="1639"/>
      <c r="T298" s="1639"/>
      <c r="U298" s="1639"/>
      <c r="W298" s="1639"/>
      <c r="X298" s="1639"/>
      <c r="Y298" s="1639"/>
      <c r="Z298" s="1639"/>
      <c r="AA298" s="1639"/>
      <c r="AB298" s="1639"/>
      <c r="AC298" s="1639"/>
      <c r="AD298" s="1639"/>
      <c r="AE298" s="1639"/>
      <c r="AF298" s="1639"/>
      <c r="AG298" s="1639"/>
      <c r="AH298" s="1639"/>
      <c r="AI298" s="1639"/>
      <c r="AJ298" s="1639">
        <v>11</v>
      </c>
    </row>
    <row customHeight="1" ht="11.549999999999999">
      <c r="A299" s="998"/>
      <c r="B299" s="1639"/>
      <c r="D299" s="1639"/>
      <c r="J299" s="1643"/>
      <c r="K299" s="1643"/>
      <c r="L299" s="1643"/>
      <c r="M299" s="1643"/>
      <c r="O299" s="1639"/>
      <c r="R299" s="1639"/>
      <c r="S299" s="1639"/>
      <c r="T299" s="1639"/>
      <c r="U299" s="1639"/>
      <c r="W299" s="1639"/>
      <c r="X299" s="1639"/>
      <c r="Y299" s="1639"/>
      <c r="Z299" s="1639"/>
      <c r="AA299" s="1639"/>
      <c r="AB299" s="1639"/>
      <c r="AC299" s="1639"/>
      <c r="AD299" s="1639"/>
      <c r="AE299" s="1639"/>
      <c r="AF299" s="1639"/>
      <c r="AG299" s="1639"/>
      <c r="AH299" s="1639"/>
      <c r="AI299" s="1639"/>
      <c r="AJ299" s="1639">
        <v>11</v>
      </c>
    </row>
    <row customHeight="1" ht="11.549999999999999">
      <c r="A300" s="998"/>
      <c r="B300" s="1639"/>
      <c r="D300" s="1639"/>
      <c r="J300" s="1643"/>
      <c r="K300" s="1643"/>
      <c r="L300" s="1643"/>
      <c r="M300" s="1643"/>
      <c r="O300" s="1639"/>
      <c r="R300" s="1639"/>
      <c r="S300" s="1639"/>
      <c r="T300" s="1639"/>
      <c r="U300" s="1639"/>
      <c r="W300" s="1639"/>
      <c r="X300" s="1639"/>
      <c r="Y300" s="1639"/>
      <c r="Z300" s="1639"/>
      <c r="AA300" s="1639"/>
      <c r="AB300" s="1639"/>
      <c r="AC300" s="1639"/>
      <c r="AD300" s="1639"/>
      <c r="AE300" s="1639"/>
      <c r="AF300" s="1639"/>
      <c r="AG300" s="1639"/>
      <c r="AH300" s="1639"/>
      <c r="AI300" s="1639"/>
      <c r="AJ300" s="1639">
        <v>11</v>
      </c>
    </row>
    <row customHeight="1" ht="11.549999999999999">
      <c r="A301" s="998"/>
      <c r="B301" s="1639"/>
      <c r="D301" s="1639"/>
      <c r="J301" s="1643"/>
      <c r="K301" s="1643"/>
      <c r="L301" s="1643"/>
      <c r="M301" s="1643"/>
      <c r="O301" s="1639"/>
      <c r="R301" s="1639"/>
      <c r="S301" s="1639"/>
      <c r="T301" s="1639"/>
      <c r="U301" s="1639"/>
      <c r="W301" s="1639"/>
      <c r="X301" s="1639"/>
      <c r="Y301" s="1639"/>
      <c r="Z301" s="1639"/>
      <c r="AA301" s="1639"/>
      <c r="AB301" s="1639"/>
      <c r="AC301" s="1639"/>
      <c r="AD301" s="1639"/>
      <c r="AE301" s="1639"/>
      <c r="AF301" s="1639"/>
      <c r="AG301" s="1639"/>
      <c r="AH301" s="1639"/>
      <c r="AI301" s="1639"/>
      <c r="AJ301" s="1639">
        <v>11</v>
      </c>
    </row>
    <row customHeight="1" ht="11.549999999999999">
      <c r="A302" s="998"/>
      <c r="B302" s="1639"/>
      <c r="D302" s="1639"/>
      <c r="J302" s="1643"/>
      <c r="K302" s="1643"/>
      <c r="L302" s="1643"/>
      <c r="M302" s="1643"/>
      <c r="O302" s="1639"/>
      <c r="R302" s="1639"/>
      <c r="S302" s="1639"/>
      <c r="T302" s="1639"/>
      <c r="U302" s="1639"/>
      <c r="W302" s="1639"/>
      <c r="X302" s="1639"/>
      <c r="Y302" s="1639"/>
      <c r="Z302" s="1639"/>
      <c r="AA302" s="1639"/>
      <c r="AB302" s="1639"/>
      <c r="AC302" s="1639"/>
      <c r="AD302" s="1639"/>
      <c r="AE302" s="1639"/>
      <c r="AF302" s="1639"/>
      <c r="AG302" s="1639"/>
      <c r="AH302" s="1639"/>
      <c r="AI302" s="1639"/>
      <c r="AJ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39">
        <v>102</v>
      </c>
      <c r="O303" s="1168">
        <v>9</v>
      </c>
      <c r="P303" s="1644">
        <v>5</v>
      </c>
      <c r="Q303" s="1644">
        <v>3</v>
      </c>
      <c r="R303" s="1168">
        <v>3</v>
      </c>
      <c r="S303" s="1168">
        <v>3</v>
      </c>
      <c r="T303" s="1168">
        <v>3</v>
      </c>
      <c r="U303" s="1168">
        <v>3</v>
      </c>
      <c r="V303" s="1644">
        <v>10</v>
      </c>
      <c r="W303" s="1168">
        <v>34</v>
      </c>
      <c r="X303" s="1168">
        <v>9</v>
      </c>
      <c r="Y303" s="552">
        <v>8</v>
      </c>
      <c r="Z303" s="1168">
        <v>8</v>
      </c>
      <c r="AA303" s="1168">
        <v>8</v>
      </c>
      <c r="AB303" s="1168">
        <v>8</v>
      </c>
      <c r="AC303" s="1168">
        <v>8</v>
      </c>
      <c r="AD303" s="1168">
        <v>8</v>
      </c>
      <c r="AE303" s="1640">
        <v>8</v>
      </c>
      <c r="AF303" s="1640">
        <v>8</v>
      </c>
      <c r="AG303" s="1640">
        <v>8</v>
      </c>
      <c r="AH303" s="1640">
        <v>8</v>
      </c>
      <c r="AI303" s="1640">
        <v>8</v>
      </c>
      <c r="AJ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N25:N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4:M6 H74:M74 H88:M89 H96:M103 H105:M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M130 H81:M81">
      <formula1>900</formula1>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decimal" allowBlank="1" showErrorMessage="1" errorTitle="Ошибка" error="Допускается ввод только действительных чисел!" sqref="H123:M123 H120:M120 H126:M126 H75:M80 H104:M104">
      <formula1>-9.99999999999999E+37</formula1>
      <formula2>9.99999999999999E+37</formula2>
    </dataValidation>
    <dataValidation type="decimal" allowBlank="1" showErrorMessage="1" errorTitle="Ошибка" error="Введите значение от 0 до 100%" sqref="H90:M90 H95:M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M68 H66:M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5B393-7CF4-8431-0205-6F2C70656529}" mc:Ignorable="x14ac xr xr2 xr3">
  <sheetPr>
    <tabColor theme="9" tint="-0.25"/>
  </sheetPr>
  <dimension ref="A1:CF65"/>
  <sheetViews>
    <sheetView topLeftCell="C4" showGridLines="0" zoomScale="90" workbookViewId="0">
      <selection activeCell="A50" sqref="A50:CF58"/>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58" t="str">
        <f>FHD20_NAME_FORM</f>
        <v>Форма 11. Информация о расходах на капитальный и текущий ремонт основных средств</v>
      </c>
      <c r="F5" s="2258"/>
      <c r="G5" s="2258"/>
      <c r="H5" s="2258"/>
      <c r="I5" s="2258"/>
      <c r="J5" s="2258"/>
      <c r="K5" s="2258"/>
      <c r="L5" s="621"/>
      <c r="M5" s="621"/>
      <c r="CF5" s="513">
        <v>28</v>
      </c>
    </row>
    <row s="1643" customFormat="1" customHeight="1" ht="16.8">
      <c r="A6" s="618"/>
      <c r="B6" s="767"/>
      <c r="C6" s="517"/>
      <c r="D6" s="1066"/>
      <c r="E6" s="2197" t="str">
        <f>IF(org=0,"Не определено",org)</f>
        <v>АО "ДГК"</v>
      </c>
      <c r="F6" s="2197"/>
      <c r="G6" s="2197"/>
      <c r="H6" s="2197"/>
      <c r="I6" s="2197"/>
      <c r="J6" s="2197"/>
      <c r="K6" s="2197"/>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22" t="s">
        <v>317</v>
      </c>
      <c r="F9" s="2123"/>
      <c r="G9" s="2123"/>
      <c r="H9" s="2123"/>
      <c r="I9" s="2123"/>
      <c r="J9" s="2123"/>
      <c r="K9" s="2123"/>
      <c r="L9" s="2123"/>
      <c r="M9" s="2123"/>
      <c r="N9" s="2123"/>
      <c r="O9" s="2123"/>
      <c r="P9" s="2123"/>
      <c r="Q9" s="2123"/>
      <c r="R9" s="2124"/>
      <c r="S9" s="2148" t="s">
        <v>318</v>
      </c>
      <c r="T9" s="342"/>
      <c r="CF9" s="513">
        <v>19</v>
      </c>
    </row>
    <row customHeight="1" ht="48.29999999999999">
      <c r="D10" s="559" t="s">
        <v>88</v>
      </c>
      <c r="E10" s="2148" t="s">
        <v>88</v>
      </c>
      <c r="F10" s="2148"/>
      <c r="G10" s="529" t="s">
        <v>319</v>
      </c>
      <c r="H10" s="2148" t="s">
        <v>88</v>
      </c>
      <c r="I10" s="2148"/>
      <c r="J10" s="529" t="s">
        <v>619</v>
      </c>
      <c r="K10" s="529" t="s">
        <v>620</v>
      </c>
      <c r="L10" s="2148" t="s">
        <v>88</v>
      </c>
      <c r="M10" s="2148"/>
      <c r="N10" s="529" t="s">
        <v>621</v>
      </c>
      <c r="O10" s="529" t="s">
        <v>622</v>
      </c>
      <c r="P10" s="529" t="s">
        <v>623</v>
      </c>
      <c r="Q10" s="529" t="s">
        <v>624</v>
      </c>
      <c r="R10" s="529" t="s">
        <v>625</v>
      </c>
      <c r="S10" s="2148"/>
      <c r="T10" s="342"/>
      <c r="CF10" s="513">
        <v>46</v>
      </c>
    </row>
    <row s="1650" customFormat="1" customHeight="1" ht="15">
      <c r="A11" s="1060"/>
      <c r="D11" s="1033" t="s">
        <v>118</v>
      </c>
      <c r="E11" s="1033"/>
      <c r="F11" s="1033" t="s">
        <v>102</v>
      </c>
      <c r="G11" s="1033" t="s">
        <v>90</v>
      </c>
      <c r="H11" s="1033"/>
      <c r="I11" s="1033" t="s">
        <v>91</v>
      </c>
      <c r="J11" s="1033" t="s">
        <v>119</v>
      </c>
      <c r="K11" s="1033" t="s">
        <v>92</v>
      </c>
      <c r="L11" s="1033"/>
      <c r="M11" s="1033" t="s">
        <v>93</v>
      </c>
      <c r="N11" s="1033" t="s">
        <v>120</v>
      </c>
      <c r="O11" s="1033" t="s">
        <v>167</v>
      </c>
      <c r="P11" s="1033" t="s">
        <v>168</v>
      </c>
      <c r="Q11" s="1033" t="s">
        <v>169</v>
      </c>
      <c r="R11" s="1033" t="s">
        <v>170</v>
      </c>
      <c r="S11" s="1033" t="s">
        <v>171</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393</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5" customFormat="1" customHeight="1" ht="15">
      <c r="A14" s="631" t="s">
        <v>126</v>
      </c>
      <c r="B14" s="632"/>
      <c r="C14" s="632"/>
      <c r="D14" s="2401" t="s">
        <v>118</v>
      </c>
      <c r="E14" s="2398" t="s">
        <v>114</v>
      </c>
      <c r="F14" s="2399"/>
      <c r="G14" s="2400"/>
      <c r="H14" s="240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404"/>
      <c r="J14" s="2404"/>
      <c r="K14" s="2404"/>
      <c r="L14" s="2404"/>
      <c r="M14" s="2404"/>
      <c r="N14" s="2404"/>
      <c r="O14" s="2404"/>
      <c r="P14" s="2404"/>
      <c r="Q14" s="2404"/>
      <c r="R14" s="2404"/>
      <c r="S14" s="727"/>
      <c r="T14" s="724"/>
      <c r="U14" s="633"/>
      <c r="V14" s="633"/>
      <c r="W14" s="634"/>
      <c r="X14" s="634"/>
      <c r="Y14" s="634"/>
      <c r="Z14" s="634"/>
      <c r="AA14" s="635"/>
      <c r="AB14" s="636"/>
      <c r="AC14" s="2396"/>
      <c r="AD14" s="637"/>
      <c r="AE14" s="638" t="s">
        <v>22</v>
      </c>
      <c r="AF14" s="638"/>
      <c r="AG14" s="639" t="s">
        <v>626</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5" customFormat="1" customHeight="1" ht="15">
      <c r="A15" s="631"/>
      <c r="B15" s="632"/>
      <c r="C15" s="632"/>
      <c r="D15" s="2402"/>
      <c r="E15" s="2398" t="s">
        <v>581</v>
      </c>
      <c r="F15" s="2399"/>
      <c r="G15" s="2400"/>
      <c r="H15" s="2404" t="str">
        <f>IF(A14="","",INDEX(DIFFERENTIATION_UNMERGE_AREA,MATCH(A14,DIFFERENTIATION_ID_DIFF,0)))</f>
        <v>Территория 1</v>
      </c>
      <c r="I15" s="2404"/>
      <c r="J15" s="2404"/>
      <c r="K15" s="2404"/>
      <c r="L15" s="2404"/>
      <c r="M15" s="2404"/>
      <c r="N15" s="2404"/>
      <c r="O15" s="2404"/>
      <c r="P15" s="2404"/>
      <c r="Q15" s="2404"/>
      <c r="R15" s="2404"/>
      <c r="S15" s="727"/>
      <c r="T15" s="724"/>
      <c r="U15" s="633"/>
      <c r="V15" s="633"/>
      <c r="W15" s="634"/>
      <c r="X15" s="634"/>
      <c r="Y15" s="634"/>
      <c r="Z15" s="634"/>
      <c r="AA15" s="635"/>
      <c r="AB15" s="636"/>
      <c r="AC15" s="2396"/>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5" customFormat="1" customHeight="1" ht="15">
      <c r="A16" s="631"/>
      <c r="B16" s="632"/>
      <c r="C16" s="632"/>
      <c r="D16" s="2402"/>
      <c r="E16" s="2398" t="s">
        <v>582</v>
      </c>
      <c r="F16" s="2399"/>
      <c r="G16" s="2400"/>
      <c r="H16" s="2404" t="str">
        <f>IF(A14="","",INDEX(DIFFERENTIATION_UNMERGE_SYSTEM,MATCH(A14,DIFFERENTIATION_ID_DIFF,0)))</f>
        <v>Благовещенская ТЭЦ, ТС Благовещенск</v>
      </c>
      <c r="I16" s="2404"/>
      <c r="J16" s="2404"/>
      <c r="K16" s="2404"/>
      <c r="L16" s="2404"/>
      <c r="M16" s="2404"/>
      <c r="N16" s="2404"/>
      <c r="O16" s="2404"/>
      <c r="P16" s="2404"/>
      <c r="Q16" s="2404"/>
      <c r="R16" s="2404"/>
      <c r="S16" s="727"/>
      <c r="T16" s="724"/>
      <c r="U16" s="633"/>
      <c r="V16" s="633"/>
      <c r="W16" s="634"/>
      <c r="X16" s="634"/>
      <c r="Y16" s="634"/>
      <c r="Z16" s="634"/>
      <c r="AA16" s="635"/>
      <c r="AB16" s="636"/>
      <c r="AC16" s="2396"/>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5" customFormat="1" customHeight="1" ht="22.5">
      <c r="A17" s="641"/>
      <c r="B17" s="425"/>
      <c r="C17" s="420"/>
      <c r="D17" s="2402"/>
      <c r="E17" s="2397" t="s">
        <v>627</v>
      </c>
      <c r="F17" s="2397"/>
      <c r="G17" s="2397"/>
      <c r="H17" s="2397"/>
      <c r="I17" s="2397"/>
      <c r="J17" s="2397"/>
      <c r="K17" s="2397"/>
      <c r="L17" s="2397"/>
      <c r="M17" s="2397"/>
      <c r="N17" s="2397"/>
      <c r="O17" s="2397"/>
      <c r="P17" s="2397"/>
      <c r="Q17" s="566">
        <f>SUMIF(T18:T19,"i",Q18:Q19)</f>
        <v>0</v>
      </c>
      <c r="R17" s="1025"/>
      <c r="S17" s="905" t="s">
        <v>628</v>
      </c>
      <c r="T17" s="725" t="s">
        <v>629</v>
      </c>
      <c r="U17" s="2395">
        <v>1</v>
      </c>
      <c r="V17" s="2395" t="str">
        <f>INDEX(B_FHD_FLAG_INDEX_1,1,MATCH(A14,B_FHD_FLAG_DIFFERENTIATION,0))</f>
        <v>отсутствует</v>
      </c>
      <c r="W17" s="425"/>
      <c r="X17" s="425"/>
      <c r="Y17" s="425"/>
      <c r="Z17" s="425"/>
      <c r="AA17" s="519"/>
      <c r="AB17" s="425"/>
      <c r="AC17" s="2396"/>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5" customFormat="1" customHeight="1" ht="11.25" hidden="1">
      <c r="A18" s="642"/>
      <c r="B18" s="519"/>
      <c r="C18" s="519"/>
      <c r="D18" s="2402"/>
      <c r="E18" s="643"/>
      <c r="F18" s="643">
        <v>0</v>
      </c>
      <c r="G18" s="643"/>
      <c r="H18" s="643"/>
      <c r="I18" s="643"/>
      <c r="J18" s="643"/>
      <c r="K18" s="643"/>
      <c r="L18" s="643"/>
      <c r="M18" s="643"/>
      <c r="N18" s="643"/>
      <c r="O18" s="643"/>
      <c r="P18" s="643"/>
      <c r="Q18" s="643"/>
      <c r="R18" s="643"/>
      <c r="S18" s="644"/>
      <c r="T18" s="726"/>
      <c r="U18" s="2395"/>
      <c r="V18" s="2395"/>
      <c r="W18" s="519"/>
      <c r="X18" s="519"/>
      <c r="Y18" s="519"/>
      <c r="Z18" s="519"/>
      <c r="AA18" s="519"/>
      <c r="AB18" s="425"/>
      <c r="AC18" s="2396"/>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5" customFormat="1" customHeight="1" ht="11.25">
      <c r="A19" s="641"/>
      <c r="B19" s="425"/>
      <c r="C19" s="420"/>
      <c r="D19" s="2402"/>
      <c r="E19" s="657" t="s">
        <v>22</v>
      </c>
      <c r="F19" s="658" t="s">
        <v>22</v>
      </c>
      <c r="G19" s="658" t="s">
        <v>22</v>
      </c>
      <c r="H19" s="659" t="s">
        <v>22</v>
      </c>
      <c r="I19" s="659"/>
      <c r="J19" s="659"/>
      <c r="K19" s="659"/>
      <c r="L19" s="659"/>
      <c r="M19" s="659"/>
      <c r="N19" s="659"/>
      <c r="O19" s="659"/>
      <c r="P19" s="659"/>
      <c r="Q19" s="659"/>
      <c r="R19" s="660"/>
      <c r="S19" s="1028"/>
      <c r="T19" s="726"/>
      <c r="U19" s="2395"/>
      <c r="V19" s="2395"/>
      <c r="W19" s="425"/>
      <c r="X19" s="425"/>
      <c r="Y19" s="425"/>
      <c r="Z19" s="425"/>
      <c r="AA19" s="519"/>
      <c r="AB19" s="425"/>
      <c r="AC19" s="2396"/>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5" customFormat="1" customHeight="1" ht="22.5">
      <c r="A20" s="641"/>
      <c r="B20" s="425"/>
      <c r="C20" s="420"/>
      <c r="D20" s="2402"/>
      <c r="E20" s="2397" t="s">
        <v>630</v>
      </c>
      <c r="F20" s="2397"/>
      <c r="G20" s="2397"/>
      <c r="H20" s="2397"/>
      <c r="I20" s="2397"/>
      <c r="J20" s="2397"/>
      <c r="K20" s="2397"/>
      <c r="L20" s="2397"/>
      <c r="M20" s="2397"/>
      <c r="N20" s="2397"/>
      <c r="O20" s="2397"/>
      <c r="P20" s="2397"/>
      <c r="Q20" s="566">
        <f>SUMIF(T21:T22,"i",Q21:Q22)</f>
        <v>0</v>
      </c>
      <c r="R20" s="1025"/>
      <c r="S20" s="717" t="s">
        <v>631</v>
      </c>
      <c r="T20" s="725" t="s">
        <v>629</v>
      </c>
      <c r="U20" s="2395">
        <v>2</v>
      </c>
      <c r="V20" s="2395"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5" customFormat="1" customHeight="1" ht="11.25" hidden="1">
      <c r="A21" s="716"/>
      <c r="B21" s="519"/>
      <c r="C21" s="519"/>
      <c r="D21" s="2402"/>
      <c r="E21" s="643"/>
      <c r="F21" s="643">
        <v>0</v>
      </c>
      <c r="G21" s="643"/>
      <c r="H21" s="643"/>
      <c r="I21" s="643"/>
      <c r="J21" s="643"/>
      <c r="K21" s="643"/>
      <c r="L21" s="643"/>
      <c r="M21" s="643"/>
      <c r="N21" s="643"/>
      <c r="O21" s="643"/>
      <c r="P21" s="643"/>
      <c r="Q21" s="643"/>
      <c r="R21" s="643"/>
      <c r="S21" s="644"/>
      <c r="T21" s="726"/>
      <c r="U21" s="2395"/>
      <c r="V21" s="2395"/>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5" customFormat="1" customHeight="1" ht="11.25">
      <c r="A22" s="641"/>
      <c r="B22" s="425"/>
      <c r="C22" s="420"/>
      <c r="D22" s="2403"/>
      <c r="E22" s="657" t="s">
        <v>22</v>
      </c>
      <c r="F22" s="658" t="s">
        <v>22</v>
      </c>
      <c r="G22" s="658" t="s">
        <v>22</v>
      </c>
      <c r="H22" s="659" t="s">
        <v>22</v>
      </c>
      <c r="I22" s="659"/>
      <c r="J22" s="659"/>
      <c r="K22" s="659"/>
      <c r="L22" s="659"/>
      <c r="M22" s="659"/>
      <c r="N22" s="659"/>
      <c r="O22" s="659"/>
      <c r="P22" s="659"/>
      <c r="Q22" s="659"/>
      <c r="R22" s="660"/>
      <c r="S22" s="1028"/>
      <c r="T22" s="726"/>
      <c r="U22" s="2395"/>
      <c r="V22" s="2395"/>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132</v>
      </c>
      <c r="B23" s="632"/>
      <c r="C23" s="632" t="s">
        <v>22</v>
      </c>
      <c r="D23" s="2599" t="s">
        <v>169</v>
      </c>
      <c r="E23" s="2398" t="s">
        <v>114</v>
      </c>
      <c r="F23" s="2399"/>
      <c r="G23" s="2400"/>
      <c r="H23" s="2404" t="str">
        <f>IF(A23="","",INDEX(DIFFERENTIATION_UNMERGE_VD,MATCH(A23,DIFFERENTIATION_ID_DIFF,0)))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404"/>
      <c r="J23" s="2404"/>
      <c r="K23" s="2404"/>
      <c r="L23" s="2404"/>
      <c r="M23" s="2404"/>
      <c r="N23" s="2404"/>
      <c r="O23" s="2404"/>
      <c r="P23" s="2404"/>
      <c r="Q23" s="2404"/>
      <c r="R23" s="2404"/>
      <c r="S23" s="727"/>
      <c r="T23" s="724"/>
      <c r="U23" s="633"/>
      <c r="V23" s="633"/>
      <c r="W23" s="634"/>
      <c r="X23" s="634"/>
      <c r="Y23" s="634"/>
      <c r="Z23" s="634"/>
      <c r="AA23" s="635"/>
      <c r="AB23" s="636"/>
      <c r="AC23" s="2396"/>
      <c r="AD23" s="637"/>
      <c r="AE23" s="638" t="s">
        <v>22</v>
      </c>
      <c r="AF23" s="638"/>
      <c r="AG23" s="639" t="s">
        <v>626</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5"/>
    </row>
    <row customHeight="1" ht="15" hidden="1">
      <c r="A24" s="631"/>
      <c r="B24" s="632"/>
      <c r="C24" s="632"/>
      <c r="D24" s="2600"/>
      <c r="E24" s="2398" t="s">
        <v>581</v>
      </c>
      <c r="F24" s="2399"/>
      <c r="G24" s="2400"/>
      <c r="H24" s="2404" t="str">
        <f>IF(A23="","",INDEX(DIFFERENTIATION_UNMERGE_AREA,MATCH(A23,DIFFERENTIATION_ID_DIFF,0)))</f>
        <v>Территория 2</v>
      </c>
      <c r="I24" s="2404"/>
      <c r="J24" s="2404"/>
      <c r="K24" s="2404"/>
      <c r="L24" s="2404"/>
      <c r="M24" s="2404"/>
      <c r="N24" s="2404"/>
      <c r="O24" s="2404"/>
      <c r="P24" s="2404"/>
      <c r="Q24" s="2404"/>
      <c r="R24" s="2404"/>
      <c r="S24" s="727"/>
      <c r="T24" s="724"/>
      <c r="U24" s="633"/>
      <c r="V24" s="633"/>
      <c r="W24" s="634"/>
      <c r="X24" s="634"/>
      <c r="Y24" s="634"/>
      <c r="Z24" s="634"/>
      <c r="AA24" s="635"/>
      <c r="AB24" s="636"/>
      <c r="AC24" s="2396"/>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5"/>
    </row>
    <row customHeight="1" ht="15" hidden="1">
      <c r="A25" s="631"/>
      <c r="B25" s="632"/>
      <c r="C25" s="632"/>
      <c r="D25" s="2600"/>
      <c r="E25" s="2398" t="s">
        <v>582</v>
      </c>
      <c r="F25" s="2399"/>
      <c r="G25" s="2400"/>
      <c r="H25" s="2404" t="str">
        <f>IF(A23="","",INDEX(DIFFERENTIATION_UNMERGE_SYSTEM,MATCH(A23,DIFFERENTIATION_ID_DIFF,0)))</f>
        <v>Райчихинская ГРЭС, ТС Прогресс</v>
      </c>
      <c r="I25" s="2404"/>
      <c r="J25" s="2404"/>
      <c r="K25" s="2404"/>
      <c r="L25" s="2404"/>
      <c r="M25" s="2404"/>
      <c r="N25" s="2404"/>
      <c r="O25" s="2404"/>
      <c r="P25" s="2404"/>
      <c r="Q25" s="2404"/>
      <c r="R25" s="2404"/>
      <c r="S25" s="727"/>
      <c r="T25" s="724"/>
      <c r="U25" s="633"/>
      <c r="V25" s="633"/>
      <c r="W25" s="634"/>
      <c r="X25" s="634"/>
      <c r="Y25" s="634"/>
      <c r="Z25" s="634"/>
      <c r="AA25" s="635"/>
      <c r="AB25" s="636"/>
      <c r="AC25" s="2396"/>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5"/>
    </row>
    <row customHeight="1" ht="24.75" hidden="1">
      <c r="A26" s="1813"/>
      <c r="B26" s="1168"/>
      <c r="C26" s="420"/>
      <c r="D26" s="2600"/>
      <c r="E26" s="2397" t="s">
        <v>627</v>
      </c>
      <c r="F26" s="2397"/>
      <c r="G26" s="2397"/>
      <c r="H26" s="2397"/>
      <c r="I26" s="2397"/>
      <c r="J26" s="2397"/>
      <c r="K26" s="2397"/>
      <c r="L26" s="2397"/>
      <c r="M26" s="2397"/>
      <c r="N26" s="2397"/>
      <c r="O26" s="2397"/>
      <c r="P26" s="2397"/>
      <c r="Q26" s="566">
        <f>SUMIF(T27:T28,"i",Q27:Q28)</f>
        <v>0</v>
      </c>
      <c r="R26" s="1025"/>
      <c r="S26" s="1805" t="s">
        <v>628</v>
      </c>
      <c r="T26" s="725" t="s">
        <v>629</v>
      </c>
      <c r="U26" s="2395">
        <v>1</v>
      </c>
      <c r="V26" s="2395" t="str">
        <f>INDEX(B_FHD_FLAG_INDEX_1,1,MATCH(A23,B_FHD_FLAG_DIFFERENTIATION,0))</f>
        <v>отсутствует</v>
      </c>
      <c r="W26" s="1168"/>
      <c r="X26" s="1168"/>
      <c r="Y26" s="1168"/>
      <c r="Z26" s="1168"/>
      <c r="AA26" s="1644"/>
      <c r="AB26" s="1168"/>
      <c r="AC26" s="2396"/>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5"/>
    </row>
    <row customHeight="1" ht="11.25" hidden="1">
      <c r="A27" s="1800"/>
      <c r="B27" s="1644"/>
      <c r="C27" s="1644"/>
      <c r="D27" s="2600"/>
      <c r="E27" s="643"/>
      <c r="F27" s="643">
        <v>0</v>
      </c>
      <c r="G27" s="643"/>
      <c r="H27" s="643"/>
      <c r="I27" s="643"/>
      <c r="J27" s="643"/>
      <c r="K27" s="643"/>
      <c r="L27" s="643"/>
      <c r="M27" s="643"/>
      <c r="N27" s="643"/>
      <c r="O27" s="643"/>
      <c r="P27" s="643"/>
      <c r="Q27" s="643"/>
      <c r="R27" s="643"/>
      <c r="S27" s="644"/>
      <c r="T27" s="726"/>
      <c r="U27" s="2395"/>
      <c r="V27" s="2395"/>
      <c r="W27" s="1644"/>
      <c r="X27" s="1644"/>
      <c r="Y27" s="1644"/>
      <c r="Z27" s="1644"/>
      <c r="AA27" s="1644"/>
      <c r="AB27" s="1168"/>
      <c r="AC27" s="2396"/>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5"/>
    </row>
    <row customHeight="1" ht="11.25" hidden="1">
      <c r="A28" s="1813"/>
      <c r="B28" s="1168"/>
      <c r="C28" s="420"/>
      <c r="D28" s="2600"/>
      <c r="E28" s="657" t="s">
        <v>22</v>
      </c>
      <c r="F28" s="1176" t="s">
        <v>22</v>
      </c>
      <c r="G28" s="1176" t="s">
        <v>632</v>
      </c>
      <c r="H28" s="659" t="s">
        <v>22</v>
      </c>
      <c r="I28" s="659"/>
      <c r="J28" s="659"/>
      <c r="K28" s="659"/>
      <c r="L28" s="659"/>
      <c r="M28" s="659"/>
      <c r="N28" s="659"/>
      <c r="O28" s="659"/>
      <c r="P28" s="659"/>
      <c r="Q28" s="659"/>
      <c r="R28" s="660"/>
      <c r="S28" s="661"/>
      <c r="T28" s="726"/>
      <c r="U28" s="2395"/>
      <c r="V28" s="2395"/>
      <c r="W28" s="1168"/>
      <c r="X28" s="1168"/>
      <c r="Y28" s="1168"/>
      <c r="Z28" s="1168"/>
      <c r="AA28" s="1644"/>
      <c r="AB28" s="1168"/>
      <c r="AC28" s="2396"/>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5"/>
    </row>
    <row customHeight="1" ht="5.25" hidden="1">
      <c r="A29" s="1800"/>
      <c r="B29" s="1644"/>
      <c r="C29" s="1644"/>
      <c r="D29" s="2600"/>
      <c r="E29" s="1047"/>
      <c r="F29" s="1047"/>
      <c r="G29" s="1047"/>
      <c r="H29" s="1047"/>
      <c r="I29" s="1047"/>
      <c r="J29" s="1047"/>
      <c r="K29" s="1047"/>
      <c r="L29" s="1047"/>
      <c r="M29" s="1047"/>
      <c r="N29" s="1047"/>
      <c r="O29" s="1047"/>
      <c r="P29" s="1047"/>
      <c r="Q29" s="1048"/>
      <c r="R29" s="1049"/>
      <c r="S29" s="1050"/>
      <c r="T29" s="725" t="s">
        <v>629</v>
      </c>
      <c r="U29" s="2395">
        <v>1</v>
      </c>
      <c r="V29" s="2395" t="s">
        <v>592</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0"/>
      <c r="B30" s="1644"/>
      <c r="C30" s="1644"/>
      <c r="D30" s="2600"/>
      <c r="E30" s="643"/>
      <c r="F30" s="643"/>
      <c r="G30" s="643"/>
      <c r="H30" s="643"/>
      <c r="I30" s="643"/>
      <c r="J30" s="643"/>
      <c r="K30" s="643"/>
      <c r="L30" s="643"/>
      <c r="M30" s="643"/>
      <c r="N30" s="643"/>
      <c r="O30" s="643"/>
      <c r="P30" s="643"/>
      <c r="Q30" s="643"/>
      <c r="R30" s="643"/>
      <c r="S30" s="644"/>
      <c r="T30" s="726"/>
      <c r="U30" s="2395"/>
      <c r="V30" s="2395"/>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0"/>
      <c r="B31" s="1644"/>
      <c r="C31" s="1644"/>
      <c r="D31" s="2601"/>
      <c r="E31" s="1051"/>
      <c r="F31" s="1052"/>
      <c r="G31" s="1052"/>
      <c r="H31" s="1053"/>
      <c r="I31" s="1053"/>
      <c r="J31" s="1053"/>
      <c r="K31" s="1053"/>
      <c r="L31" s="1053"/>
      <c r="M31" s="1053"/>
      <c r="N31" s="1053"/>
      <c r="O31" s="1053"/>
      <c r="P31" s="1053"/>
      <c r="Q31" s="1053"/>
      <c r="R31" s="954"/>
      <c r="S31" s="1054"/>
      <c r="T31" s="726"/>
      <c r="U31" s="2395"/>
      <c r="V31" s="2395"/>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135</v>
      </c>
      <c r="B32" s="632"/>
      <c r="C32" s="632" t="s">
        <v>22</v>
      </c>
      <c r="D32" s="2599" t="s">
        <v>633</v>
      </c>
      <c r="E32" s="2398" t="s">
        <v>114</v>
      </c>
      <c r="F32" s="2399"/>
      <c r="G32" s="2400"/>
      <c r="H32" s="2404" t="str">
        <f>IF(A32="","",INDEX(DIFFERENTIATION_UNMERGE_VD,MATCH(A32,DIFFERENTIATION_ID_DIFF,0)))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404"/>
      <c r="J32" s="2404"/>
      <c r="K32" s="2404"/>
      <c r="L32" s="2404"/>
      <c r="M32" s="2404"/>
      <c r="N32" s="2404"/>
      <c r="O32" s="2404"/>
      <c r="P32" s="2404"/>
      <c r="Q32" s="2404"/>
      <c r="R32" s="2404"/>
      <c r="S32" s="727"/>
      <c r="T32" s="724"/>
      <c r="U32" s="633"/>
      <c r="V32" s="633"/>
      <c r="W32" s="634"/>
      <c r="X32" s="634"/>
      <c r="Y32" s="634"/>
      <c r="Z32" s="634"/>
      <c r="AA32" s="635"/>
      <c r="AB32" s="636"/>
      <c r="AC32" s="2396"/>
      <c r="AD32" s="637"/>
      <c r="AE32" s="638" t="s">
        <v>22</v>
      </c>
      <c r="AF32" s="638"/>
      <c r="AG32" s="639" t="s">
        <v>626</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5"/>
    </row>
    <row customHeight="1" ht="15" hidden="1">
      <c r="A33" s="631"/>
      <c r="B33" s="632"/>
      <c r="C33" s="632"/>
      <c r="D33" s="2600"/>
      <c r="E33" s="2398" t="s">
        <v>581</v>
      </c>
      <c r="F33" s="2399"/>
      <c r="G33" s="2400"/>
      <c r="H33" s="2404" t="str">
        <f>IF(A32="","",INDEX(DIFFERENTIATION_UNMERGE_AREA,MATCH(A32,DIFFERENTIATION_ID_DIFF,0)))</f>
        <v>Территория 2</v>
      </c>
      <c r="I33" s="2404"/>
      <c r="J33" s="2404"/>
      <c r="K33" s="2404"/>
      <c r="L33" s="2404"/>
      <c r="M33" s="2404"/>
      <c r="N33" s="2404"/>
      <c r="O33" s="2404"/>
      <c r="P33" s="2404"/>
      <c r="Q33" s="2404"/>
      <c r="R33" s="2404"/>
      <c r="S33" s="727"/>
      <c r="T33" s="724"/>
      <c r="U33" s="633"/>
      <c r="V33" s="633"/>
      <c r="W33" s="634"/>
      <c r="X33" s="634"/>
      <c r="Y33" s="634"/>
      <c r="Z33" s="634"/>
      <c r="AA33" s="635"/>
      <c r="AB33" s="636"/>
      <c r="AC33" s="2396"/>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5"/>
    </row>
    <row customHeight="1" ht="15" hidden="1">
      <c r="A34" s="631"/>
      <c r="B34" s="632"/>
      <c r="C34" s="632"/>
      <c r="D34" s="2600"/>
      <c r="E34" s="2398" t="s">
        <v>582</v>
      </c>
      <c r="F34" s="2399"/>
      <c r="G34" s="2400"/>
      <c r="H34" s="2404" t="str">
        <f>IF(A32="","",INDEX(DIFFERENTIATION_UNMERGE_SYSTEM,MATCH(A32,DIFFERENTIATION_ID_DIFF,0)))</f>
        <v>Котельная (Новорайчихинск)</v>
      </c>
      <c r="I34" s="2404"/>
      <c r="J34" s="2404"/>
      <c r="K34" s="2404"/>
      <c r="L34" s="2404"/>
      <c r="M34" s="2404"/>
      <c r="N34" s="2404"/>
      <c r="O34" s="2404"/>
      <c r="P34" s="2404"/>
      <c r="Q34" s="2404"/>
      <c r="R34" s="2404"/>
      <c r="S34" s="727"/>
      <c r="T34" s="724"/>
      <c r="U34" s="633"/>
      <c r="V34" s="633"/>
      <c r="W34" s="634"/>
      <c r="X34" s="634"/>
      <c r="Y34" s="634"/>
      <c r="Z34" s="634"/>
      <c r="AA34" s="635"/>
      <c r="AB34" s="636"/>
      <c r="AC34" s="2396"/>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5"/>
    </row>
    <row customHeight="1" ht="24.75" hidden="1">
      <c r="A35" s="1813"/>
      <c r="B35" s="1168"/>
      <c r="C35" s="420"/>
      <c r="D35" s="2600"/>
      <c r="E35" s="2397" t="s">
        <v>627</v>
      </c>
      <c r="F35" s="2397"/>
      <c r="G35" s="2397"/>
      <c r="H35" s="2397"/>
      <c r="I35" s="2397"/>
      <c r="J35" s="2397"/>
      <c r="K35" s="2397"/>
      <c r="L35" s="2397"/>
      <c r="M35" s="2397"/>
      <c r="N35" s="2397"/>
      <c r="O35" s="2397"/>
      <c r="P35" s="2397"/>
      <c r="Q35" s="566">
        <f>SUMIF(T36:T37,"i",Q36:Q37)</f>
        <v>0</v>
      </c>
      <c r="R35" s="1025"/>
      <c r="S35" s="1805" t="s">
        <v>628</v>
      </c>
      <c r="T35" s="725" t="s">
        <v>629</v>
      </c>
      <c r="U35" s="2395">
        <v>1</v>
      </c>
      <c r="V35" s="2395" t="str">
        <f>INDEX(B_FHD_FLAG_INDEX_1,1,MATCH(A32,B_FHD_FLAG_DIFFERENTIATION,0))</f>
        <v>отсутствует</v>
      </c>
      <c r="W35" s="1168"/>
      <c r="X35" s="1168"/>
      <c r="Y35" s="1168"/>
      <c r="Z35" s="1168"/>
      <c r="AA35" s="1644"/>
      <c r="AB35" s="1168"/>
      <c r="AC35" s="2396"/>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5"/>
    </row>
    <row customHeight="1" ht="11.25" hidden="1">
      <c r="A36" s="1800"/>
      <c r="B36" s="1644"/>
      <c r="C36" s="1644"/>
      <c r="D36" s="2600"/>
      <c r="E36" s="643"/>
      <c r="F36" s="643">
        <v>0</v>
      </c>
      <c r="G36" s="643"/>
      <c r="H36" s="643"/>
      <c r="I36" s="643"/>
      <c r="J36" s="643"/>
      <c r="K36" s="643"/>
      <c r="L36" s="643"/>
      <c r="M36" s="643"/>
      <c r="N36" s="643"/>
      <c r="O36" s="643"/>
      <c r="P36" s="643"/>
      <c r="Q36" s="643"/>
      <c r="R36" s="643"/>
      <c r="S36" s="644"/>
      <c r="T36" s="726"/>
      <c r="U36" s="2395"/>
      <c r="V36" s="2395"/>
      <c r="W36" s="1644"/>
      <c r="X36" s="1644"/>
      <c r="Y36" s="1644"/>
      <c r="Z36" s="1644"/>
      <c r="AA36" s="1644"/>
      <c r="AB36" s="1168"/>
      <c r="AC36" s="2396"/>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5"/>
    </row>
    <row customHeight="1" ht="11.25" hidden="1">
      <c r="A37" s="1813"/>
      <c r="B37" s="1168"/>
      <c r="C37" s="420"/>
      <c r="D37" s="2600"/>
      <c r="E37" s="657" t="s">
        <v>22</v>
      </c>
      <c r="F37" s="1176" t="s">
        <v>22</v>
      </c>
      <c r="G37" s="1176" t="s">
        <v>632</v>
      </c>
      <c r="H37" s="659" t="s">
        <v>22</v>
      </c>
      <c r="I37" s="659"/>
      <c r="J37" s="659"/>
      <c r="K37" s="659"/>
      <c r="L37" s="659"/>
      <c r="M37" s="659"/>
      <c r="N37" s="659"/>
      <c r="O37" s="659"/>
      <c r="P37" s="659"/>
      <c r="Q37" s="659"/>
      <c r="R37" s="660"/>
      <c r="S37" s="661"/>
      <c r="T37" s="726"/>
      <c r="U37" s="2395"/>
      <c r="V37" s="2395"/>
      <c r="W37" s="1168"/>
      <c r="X37" s="1168"/>
      <c r="Y37" s="1168"/>
      <c r="Z37" s="1168"/>
      <c r="AA37" s="1644"/>
      <c r="AB37" s="1168"/>
      <c r="AC37" s="2396"/>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5"/>
    </row>
    <row customHeight="1" ht="5.25" hidden="1">
      <c r="A38" s="1800"/>
      <c r="B38" s="1644"/>
      <c r="C38" s="1644"/>
      <c r="D38" s="2600"/>
      <c r="E38" s="1047"/>
      <c r="F38" s="1047"/>
      <c r="G38" s="1047"/>
      <c r="H38" s="1047"/>
      <c r="I38" s="1047"/>
      <c r="J38" s="1047"/>
      <c r="K38" s="1047"/>
      <c r="L38" s="1047"/>
      <c r="M38" s="1047"/>
      <c r="N38" s="1047"/>
      <c r="O38" s="1047"/>
      <c r="P38" s="1047"/>
      <c r="Q38" s="1048"/>
      <c r="R38" s="1049"/>
      <c r="S38" s="1050"/>
      <c r="T38" s="725" t="s">
        <v>629</v>
      </c>
      <c r="U38" s="2395">
        <v>1</v>
      </c>
      <c r="V38" s="2395" t="s">
        <v>592</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0"/>
      <c r="B39" s="1644"/>
      <c r="C39" s="1644"/>
      <c r="D39" s="2600"/>
      <c r="E39" s="643"/>
      <c r="F39" s="643"/>
      <c r="G39" s="643"/>
      <c r="H39" s="643"/>
      <c r="I39" s="643"/>
      <c r="J39" s="643"/>
      <c r="K39" s="643"/>
      <c r="L39" s="643"/>
      <c r="M39" s="643"/>
      <c r="N39" s="643"/>
      <c r="O39" s="643"/>
      <c r="P39" s="643"/>
      <c r="Q39" s="643"/>
      <c r="R39" s="643"/>
      <c r="S39" s="644"/>
      <c r="T39" s="726"/>
      <c r="U39" s="2395"/>
      <c r="V39" s="2395"/>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0"/>
      <c r="B40" s="1644"/>
      <c r="C40" s="1644"/>
      <c r="D40" s="2601"/>
      <c r="E40" s="1051"/>
      <c r="F40" s="1052"/>
      <c r="G40" s="1052"/>
      <c r="H40" s="1053"/>
      <c r="I40" s="1053"/>
      <c r="J40" s="1053"/>
      <c r="K40" s="1053"/>
      <c r="L40" s="1053"/>
      <c r="M40" s="1053"/>
      <c r="N40" s="1053"/>
      <c r="O40" s="1053"/>
      <c r="P40" s="1053"/>
      <c r="Q40" s="1053"/>
      <c r="R40" s="954"/>
      <c r="S40" s="1054"/>
      <c r="T40" s="726"/>
      <c r="U40" s="2395"/>
      <c r="V40" s="2395"/>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137</v>
      </c>
      <c r="B41" s="632"/>
      <c r="C41" s="632" t="s">
        <v>22</v>
      </c>
      <c r="D41" s="2599" t="s">
        <v>634</v>
      </c>
      <c r="E41" s="2398" t="s">
        <v>114</v>
      </c>
      <c r="F41" s="2399"/>
      <c r="G41" s="2400"/>
      <c r="H41" s="2404" t="str">
        <f>IF(A41="","",INDEX(DIFFERENTIATION_UNMERGE_VD,MATCH(A41,DIFFERENTIATION_ID_DIFF,0)))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41" s="2404"/>
      <c r="J41" s="2404"/>
      <c r="K41" s="2404"/>
      <c r="L41" s="2404"/>
      <c r="M41" s="2404"/>
      <c r="N41" s="2404"/>
      <c r="O41" s="2404"/>
      <c r="P41" s="2404"/>
      <c r="Q41" s="2404"/>
      <c r="R41" s="2404"/>
      <c r="S41" s="727"/>
      <c r="T41" s="724"/>
      <c r="U41" s="633"/>
      <c r="V41" s="633"/>
      <c r="W41" s="634"/>
      <c r="X41" s="634"/>
      <c r="Y41" s="634"/>
      <c r="Z41" s="634"/>
      <c r="AA41" s="635"/>
      <c r="AB41" s="636"/>
      <c r="AC41" s="2396"/>
      <c r="AD41" s="637"/>
      <c r="AE41" s="638" t="s">
        <v>22</v>
      </c>
      <c r="AF41" s="638"/>
      <c r="AG41" s="639" t="s">
        <v>626</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5"/>
    </row>
    <row customHeight="1" ht="15" hidden="1">
      <c r="A42" s="631"/>
      <c r="B42" s="632"/>
      <c r="C42" s="632"/>
      <c r="D42" s="2600"/>
      <c r="E42" s="2398" t="s">
        <v>581</v>
      </c>
      <c r="F42" s="2399"/>
      <c r="G42" s="2400"/>
      <c r="H42" s="2404" t="str">
        <f>IF(A41="","",INDEX(DIFFERENTIATION_UNMERGE_AREA,MATCH(A41,DIFFERENTIATION_ID_DIFF,0)))</f>
        <v>Территория 3</v>
      </c>
      <c r="I42" s="2404"/>
      <c r="J42" s="2404"/>
      <c r="K42" s="2404"/>
      <c r="L42" s="2404"/>
      <c r="M42" s="2404"/>
      <c r="N42" s="2404"/>
      <c r="O42" s="2404"/>
      <c r="P42" s="2404"/>
      <c r="Q42" s="2404"/>
      <c r="R42" s="2404"/>
      <c r="S42" s="727"/>
      <c r="T42" s="724"/>
      <c r="U42" s="633"/>
      <c r="V42" s="633"/>
      <c r="W42" s="634"/>
      <c r="X42" s="634"/>
      <c r="Y42" s="634"/>
      <c r="Z42" s="634"/>
      <c r="AA42" s="635"/>
      <c r="AB42" s="636"/>
      <c r="AC42" s="2396"/>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5"/>
    </row>
    <row customHeight="1" ht="15" hidden="1">
      <c r="A43" s="631"/>
      <c r="B43" s="632"/>
      <c r="C43" s="632"/>
      <c r="D43" s="2600"/>
      <c r="E43" s="2398" t="s">
        <v>582</v>
      </c>
      <c r="F43" s="2399"/>
      <c r="G43" s="2400"/>
      <c r="H43" s="2404" t="str">
        <f>IF(A41="","",INDEX(DIFFERENTIATION_UNMERGE_SYSTEM,MATCH(A41,DIFFERENTIATION_ID_DIFF,0)))</f>
        <v>Благовещенская ТЭЦ (с. Чигири)</v>
      </c>
      <c r="I43" s="2404"/>
      <c r="J43" s="2404"/>
      <c r="K43" s="2404"/>
      <c r="L43" s="2404"/>
      <c r="M43" s="2404"/>
      <c r="N43" s="2404"/>
      <c r="O43" s="2404"/>
      <c r="P43" s="2404"/>
      <c r="Q43" s="2404"/>
      <c r="R43" s="2404"/>
      <c r="S43" s="727"/>
      <c r="T43" s="724"/>
      <c r="U43" s="633"/>
      <c r="V43" s="633"/>
      <c r="W43" s="634"/>
      <c r="X43" s="634"/>
      <c r="Y43" s="634"/>
      <c r="Z43" s="634"/>
      <c r="AA43" s="635"/>
      <c r="AB43" s="636"/>
      <c r="AC43" s="2396"/>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5"/>
    </row>
    <row customHeight="1" ht="24.75" hidden="1">
      <c r="A44" s="1813"/>
      <c r="B44" s="1168"/>
      <c r="C44" s="420"/>
      <c r="D44" s="2600"/>
      <c r="E44" s="2397" t="s">
        <v>627</v>
      </c>
      <c r="F44" s="2397"/>
      <c r="G44" s="2397"/>
      <c r="H44" s="2397"/>
      <c r="I44" s="2397"/>
      <c r="J44" s="2397"/>
      <c r="K44" s="2397"/>
      <c r="L44" s="2397"/>
      <c r="M44" s="2397"/>
      <c r="N44" s="2397"/>
      <c r="O44" s="2397"/>
      <c r="P44" s="2397"/>
      <c r="Q44" s="566">
        <f>SUMIF(T45:T46,"i",Q45:Q46)</f>
        <v>0</v>
      </c>
      <c r="R44" s="1025"/>
      <c r="S44" s="1805" t="s">
        <v>628</v>
      </c>
      <c r="T44" s="725" t="s">
        <v>629</v>
      </c>
      <c r="U44" s="2395">
        <v>1</v>
      </c>
      <c r="V44" s="2395" t="str">
        <f>INDEX(B_FHD_FLAG_INDEX_1,1,MATCH(A41,B_FHD_FLAG_DIFFERENTIATION,0))</f>
        <v>отсутствует</v>
      </c>
      <c r="W44" s="1168"/>
      <c r="X44" s="1168"/>
      <c r="Y44" s="1168"/>
      <c r="Z44" s="1168"/>
      <c r="AA44" s="1644"/>
      <c r="AB44" s="1168"/>
      <c r="AC44" s="2396"/>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5"/>
    </row>
    <row customHeight="1" ht="11.25" hidden="1">
      <c r="A45" s="1800"/>
      <c r="B45" s="1644"/>
      <c r="C45" s="1644"/>
      <c r="D45" s="2600"/>
      <c r="E45" s="643"/>
      <c r="F45" s="643">
        <v>0</v>
      </c>
      <c r="G45" s="643"/>
      <c r="H45" s="643"/>
      <c r="I45" s="643"/>
      <c r="J45" s="643"/>
      <c r="K45" s="643"/>
      <c r="L45" s="643"/>
      <c r="M45" s="643"/>
      <c r="N45" s="643"/>
      <c r="O45" s="643"/>
      <c r="P45" s="643"/>
      <c r="Q45" s="643"/>
      <c r="R45" s="643"/>
      <c r="S45" s="644"/>
      <c r="T45" s="726"/>
      <c r="U45" s="2395"/>
      <c r="V45" s="2395"/>
      <c r="W45" s="1644"/>
      <c r="X45" s="1644"/>
      <c r="Y45" s="1644"/>
      <c r="Z45" s="1644"/>
      <c r="AA45" s="1644"/>
      <c r="AB45" s="1168"/>
      <c r="AC45" s="2396"/>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5"/>
    </row>
    <row customHeight="1" ht="11.25" hidden="1">
      <c r="A46" s="1813"/>
      <c r="B46" s="1168"/>
      <c r="C46" s="420"/>
      <c r="D46" s="2600"/>
      <c r="E46" s="657" t="s">
        <v>22</v>
      </c>
      <c r="F46" s="1176" t="s">
        <v>22</v>
      </c>
      <c r="G46" s="1176" t="s">
        <v>632</v>
      </c>
      <c r="H46" s="659" t="s">
        <v>22</v>
      </c>
      <c r="I46" s="659"/>
      <c r="J46" s="659"/>
      <c r="K46" s="659"/>
      <c r="L46" s="659"/>
      <c r="M46" s="659"/>
      <c r="N46" s="659"/>
      <c r="O46" s="659"/>
      <c r="P46" s="659"/>
      <c r="Q46" s="659"/>
      <c r="R46" s="660"/>
      <c r="S46" s="661"/>
      <c r="T46" s="726"/>
      <c r="U46" s="2395"/>
      <c r="V46" s="2395"/>
      <c r="W46" s="1168"/>
      <c r="X46" s="1168"/>
      <c r="Y46" s="1168"/>
      <c r="Z46" s="1168"/>
      <c r="AA46" s="1644"/>
      <c r="AB46" s="1168"/>
      <c r="AC46" s="2396"/>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5"/>
    </row>
    <row customHeight="1" ht="5.25" hidden="1">
      <c r="A47" s="1800"/>
      <c r="B47" s="1644"/>
      <c r="C47" s="1644"/>
      <c r="D47" s="2600"/>
      <c r="E47" s="1047"/>
      <c r="F47" s="1047"/>
      <c r="G47" s="1047"/>
      <c r="H47" s="1047"/>
      <c r="I47" s="1047"/>
      <c r="J47" s="1047"/>
      <c r="K47" s="1047"/>
      <c r="L47" s="1047"/>
      <c r="M47" s="1047"/>
      <c r="N47" s="1047"/>
      <c r="O47" s="1047"/>
      <c r="P47" s="1047"/>
      <c r="Q47" s="1048"/>
      <c r="R47" s="1049"/>
      <c r="S47" s="1050"/>
      <c r="T47" s="725" t="s">
        <v>629</v>
      </c>
      <c r="U47" s="2395">
        <v>1</v>
      </c>
      <c r="V47" s="2395" t="s">
        <v>592</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0"/>
      <c r="B48" s="1644"/>
      <c r="C48" s="1644"/>
      <c r="D48" s="2600"/>
      <c r="E48" s="643"/>
      <c r="F48" s="643"/>
      <c r="G48" s="643"/>
      <c r="H48" s="643"/>
      <c r="I48" s="643"/>
      <c r="J48" s="643"/>
      <c r="K48" s="643"/>
      <c r="L48" s="643"/>
      <c r="M48" s="643"/>
      <c r="N48" s="643"/>
      <c r="O48" s="643"/>
      <c r="P48" s="643"/>
      <c r="Q48" s="643"/>
      <c r="R48" s="643"/>
      <c r="S48" s="644"/>
      <c r="T48" s="726"/>
      <c r="U48" s="2395"/>
      <c r="V48" s="2395"/>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0"/>
      <c r="B49" s="1644"/>
      <c r="C49" s="1644"/>
      <c r="D49" s="2601"/>
      <c r="E49" s="1051"/>
      <c r="F49" s="1052"/>
      <c r="G49" s="1052"/>
      <c r="H49" s="1053"/>
      <c r="I49" s="1053"/>
      <c r="J49" s="1053"/>
      <c r="K49" s="1053"/>
      <c r="L49" s="1053"/>
      <c r="M49" s="1053"/>
      <c r="N49" s="1053"/>
      <c r="O49" s="1053"/>
      <c r="P49" s="1053"/>
      <c r="Q49" s="1053"/>
      <c r="R49" s="954"/>
      <c r="S49" s="1054"/>
      <c r="T49" s="726"/>
      <c r="U49" s="2395"/>
      <c r="V49" s="2395"/>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139</v>
      </c>
      <c r="B50" s="632"/>
      <c r="C50" s="632" t="s">
        <v>22</v>
      </c>
      <c r="D50" s="2599" t="s">
        <v>635</v>
      </c>
      <c r="E50" s="2398" t="s">
        <v>114</v>
      </c>
      <c r="F50" s="2399"/>
      <c r="G50" s="2400"/>
      <c r="H50" s="2404" t="str">
        <f>IF(A50="","",INDEX(DIFFERENTIATION_UNMERGE_VD,MATCH(A50,DIFFERENTIATION_ID_DIFF,0)))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50" s="2404"/>
      <c r="J50" s="2404"/>
      <c r="K50" s="2404"/>
      <c r="L50" s="2404"/>
      <c r="M50" s="2404"/>
      <c r="N50" s="2404"/>
      <c r="O50" s="2404"/>
      <c r="P50" s="2404"/>
      <c r="Q50" s="2404"/>
      <c r="R50" s="2404"/>
      <c r="S50" s="727"/>
      <c r="T50" s="724"/>
      <c r="U50" s="633"/>
      <c r="V50" s="633"/>
      <c r="W50" s="634"/>
      <c r="X50" s="634"/>
      <c r="Y50" s="634"/>
      <c r="Z50" s="634"/>
      <c r="AA50" s="635"/>
      <c r="AB50" s="636"/>
      <c r="AC50" s="2396"/>
      <c r="AD50" s="637"/>
      <c r="AE50" s="638" t="s">
        <v>22</v>
      </c>
      <c r="AF50" s="638"/>
      <c r="AG50" s="639" t="s">
        <v>626</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5"/>
    </row>
    <row customHeight="1" ht="15" hidden="1">
      <c r="A51" s="631"/>
      <c r="B51" s="632"/>
      <c r="C51" s="632"/>
      <c r="D51" s="2600"/>
      <c r="E51" s="2398" t="s">
        <v>581</v>
      </c>
      <c r="F51" s="2399"/>
      <c r="G51" s="2400"/>
      <c r="H51" s="2404" t="str">
        <f>IF(A50="","",INDEX(DIFFERENTIATION_UNMERGE_AREA,MATCH(A50,DIFFERENTIATION_ID_DIFF,0)))</f>
        <v>Территория 3</v>
      </c>
      <c r="I51" s="2404"/>
      <c r="J51" s="2404"/>
      <c r="K51" s="2404"/>
      <c r="L51" s="2404"/>
      <c r="M51" s="2404"/>
      <c r="N51" s="2404"/>
      <c r="O51" s="2404"/>
      <c r="P51" s="2404"/>
      <c r="Q51" s="2404"/>
      <c r="R51" s="2404"/>
      <c r="S51" s="727"/>
      <c r="T51" s="724"/>
      <c r="U51" s="633"/>
      <c r="V51" s="633"/>
      <c r="W51" s="634"/>
      <c r="X51" s="634"/>
      <c r="Y51" s="634"/>
      <c r="Z51" s="634"/>
      <c r="AA51" s="635"/>
      <c r="AB51" s="636"/>
      <c r="AC51" s="2396"/>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5"/>
    </row>
    <row customHeight="1" ht="15" hidden="1">
      <c r="A52" s="631"/>
      <c r="B52" s="632"/>
      <c r="C52" s="632"/>
      <c r="D52" s="2600"/>
      <c r="E52" s="2398" t="s">
        <v>582</v>
      </c>
      <c r="F52" s="2399"/>
      <c r="G52" s="2400"/>
      <c r="H52" s="2404" t="str">
        <f>IF(A50="","",INDEX(DIFFERENTIATION_UNMERGE_SYSTEM,MATCH(A50,DIFFERENTIATION_ID_DIFF,0)))</f>
        <v>Котельная Центральная (с.Чигири)</v>
      </c>
      <c r="I52" s="2404"/>
      <c r="J52" s="2404"/>
      <c r="K52" s="2404"/>
      <c r="L52" s="2404"/>
      <c r="M52" s="2404"/>
      <c r="N52" s="2404"/>
      <c r="O52" s="2404"/>
      <c r="P52" s="2404"/>
      <c r="Q52" s="2404"/>
      <c r="R52" s="2404"/>
      <c r="S52" s="727"/>
      <c r="T52" s="724"/>
      <c r="U52" s="633"/>
      <c r="V52" s="633"/>
      <c r="W52" s="634"/>
      <c r="X52" s="634"/>
      <c r="Y52" s="634"/>
      <c r="Z52" s="634"/>
      <c r="AA52" s="635"/>
      <c r="AB52" s="636"/>
      <c r="AC52" s="2396"/>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5"/>
    </row>
    <row customHeight="1" ht="24.75" hidden="1">
      <c r="A53" s="1813"/>
      <c r="B53" s="1168"/>
      <c r="C53" s="420"/>
      <c r="D53" s="2600"/>
      <c r="E53" s="2397" t="s">
        <v>627</v>
      </c>
      <c r="F53" s="2397"/>
      <c r="G53" s="2397"/>
      <c r="H53" s="2397"/>
      <c r="I53" s="2397"/>
      <c r="J53" s="2397"/>
      <c r="K53" s="2397"/>
      <c r="L53" s="2397"/>
      <c r="M53" s="2397"/>
      <c r="N53" s="2397"/>
      <c r="O53" s="2397"/>
      <c r="P53" s="2397"/>
      <c r="Q53" s="566">
        <f>SUMIF(T54:T55,"i",Q54:Q55)</f>
        <v>0</v>
      </c>
      <c r="R53" s="1025"/>
      <c r="S53" s="1805" t="s">
        <v>628</v>
      </c>
      <c r="T53" s="725" t="s">
        <v>629</v>
      </c>
      <c r="U53" s="2395">
        <v>1</v>
      </c>
      <c r="V53" s="2395" t="str">
        <f>INDEX(B_FHD_FLAG_INDEX_1,1,MATCH(A50,B_FHD_FLAG_DIFFERENTIATION,0))</f>
        <v>отсутствует</v>
      </c>
      <c r="W53" s="1168"/>
      <c r="X53" s="1168"/>
      <c r="Y53" s="1168"/>
      <c r="Z53" s="1168"/>
      <c r="AA53" s="1644"/>
      <c r="AB53" s="1168"/>
      <c r="AC53" s="2396"/>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5"/>
    </row>
    <row customHeight="1" ht="11.25" hidden="1">
      <c r="A54" s="1800"/>
      <c r="B54" s="1644"/>
      <c r="C54" s="1644"/>
      <c r="D54" s="2600"/>
      <c r="E54" s="643"/>
      <c r="F54" s="643">
        <v>0</v>
      </c>
      <c r="G54" s="643"/>
      <c r="H54" s="643"/>
      <c r="I54" s="643"/>
      <c r="J54" s="643"/>
      <c r="K54" s="643"/>
      <c r="L54" s="643"/>
      <c r="M54" s="643"/>
      <c r="N54" s="643"/>
      <c r="O54" s="643"/>
      <c r="P54" s="643"/>
      <c r="Q54" s="643"/>
      <c r="R54" s="643"/>
      <c r="S54" s="644"/>
      <c r="T54" s="726"/>
      <c r="U54" s="2395"/>
      <c r="V54" s="2395"/>
      <c r="W54" s="1644"/>
      <c r="X54" s="1644"/>
      <c r="Y54" s="1644"/>
      <c r="Z54" s="1644"/>
      <c r="AA54" s="1644"/>
      <c r="AB54" s="1168"/>
      <c r="AC54" s="2396"/>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5"/>
    </row>
    <row customHeight="1" ht="11.25" hidden="1">
      <c r="A55" s="1813"/>
      <c r="B55" s="1168"/>
      <c r="C55" s="420"/>
      <c r="D55" s="2600"/>
      <c r="E55" s="657" t="s">
        <v>22</v>
      </c>
      <c r="F55" s="1176" t="s">
        <v>22</v>
      </c>
      <c r="G55" s="1176" t="s">
        <v>632</v>
      </c>
      <c r="H55" s="659" t="s">
        <v>22</v>
      </c>
      <c r="I55" s="659"/>
      <c r="J55" s="659"/>
      <c r="K55" s="659"/>
      <c r="L55" s="659"/>
      <c r="M55" s="659"/>
      <c r="N55" s="659"/>
      <c r="O55" s="659"/>
      <c r="P55" s="659"/>
      <c r="Q55" s="659"/>
      <c r="R55" s="660"/>
      <c r="S55" s="661"/>
      <c r="T55" s="726"/>
      <c r="U55" s="2395"/>
      <c r="V55" s="2395"/>
      <c r="W55" s="1168"/>
      <c r="X55" s="1168"/>
      <c r="Y55" s="1168"/>
      <c r="Z55" s="1168"/>
      <c r="AA55" s="1644"/>
      <c r="AB55" s="1168"/>
      <c r="AC55" s="2396"/>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5"/>
    </row>
    <row customHeight="1" ht="5.25" hidden="1">
      <c r="A56" s="1800"/>
      <c r="B56" s="1644"/>
      <c r="C56" s="1644"/>
      <c r="D56" s="2600"/>
      <c r="E56" s="1047"/>
      <c r="F56" s="1047"/>
      <c r="G56" s="1047"/>
      <c r="H56" s="1047"/>
      <c r="I56" s="1047"/>
      <c r="J56" s="1047"/>
      <c r="K56" s="1047"/>
      <c r="L56" s="1047"/>
      <c r="M56" s="1047"/>
      <c r="N56" s="1047"/>
      <c r="O56" s="1047"/>
      <c r="P56" s="1047"/>
      <c r="Q56" s="1048"/>
      <c r="R56" s="1049"/>
      <c r="S56" s="1050"/>
      <c r="T56" s="725" t="s">
        <v>629</v>
      </c>
      <c r="U56" s="2395">
        <v>1</v>
      </c>
      <c r="V56" s="2395" t="s">
        <v>592</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0"/>
      <c r="B57" s="1644"/>
      <c r="C57" s="1644"/>
      <c r="D57" s="2600"/>
      <c r="E57" s="643"/>
      <c r="F57" s="643"/>
      <c r="G57" s="643"/>
      <c r="H57" s="643"/>
      <c r="I57" s="643"/>
      <c r="J57" s="643"/>
      <c r="K57" s="643"/>
      <c r="L57" s="643"/>
      <c r="M57" s="643"/>
      <c r="N57" s="643"/>
      <c r="O57" s="643"/>
      <c r="P57" s="643"/>
      <c r="Q57" s="643"/>
      <c r="R57" s="643"/>
      <c r="S57" s="644"/>
      <c r="T57" s="726"/>
      <c r="U57" s="2395"/>
      <c r="V57" s="2395"/>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0"/>
      <c r="B58" s="1644"/>
      <c r="C58" s="1644"/>
      <c r="D58" s="2601"/>
      <c r="E58" s="1051"/>
      <c r="F58" s="1052"/>
      <c r="G58" s="1052"/>
      <c r="H58" s="1053"/>
      <c r="I58" s="1053"/>
      <c r="J58" s="1053"/>
      <c r="K58" s="1053"/>
      <c r="L58" s="1053"/>
      <c r="M58" s="1053"/>
      <c r="N58" s="1053"/>
      <c r="O58" s="1053"/>
      <c r="P58" s="1053"/>
      <c r="Q58" s="1053"/>
      <c r="R58" s="954"/>
      <c r="S58" s="1054"/>
      <c r="T58" s="726"/>
      <c r="U58" s="2395"/>
      <c r="V58" s="2395"/>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9.95">
      <c r="D59" s="1055"/>
      <c r="E59" s="1055"/>
      <c r="F59" s="1055"/>
      <c r="G59" s="1055"/>
      <c r="H59" s="1055"/>
      <c r="I59" s="1055"/>
      <c r="J59" s="1055"/>
      <c r="K59" s="1055"/>
      <c r="L59" s="1055"/>
      <c r="M59" s="1055"/>
      <c r="N59" s="1055"/>
      <c r="O59" s="1055"/>
      <c r="P59" s="1055"/>
      <c r="Q59" s="1055"/>
      <c r="R59" s="1055"/>
      <c r="S59" s="1055"/>
      <c r="T59" s="342"/>
      <c r="CF59" s="513">
        <v>19</v>
      </c>
    </row>
    <row customHeight="1" ht="11.549999999999999">
      <c r="D60" s="517"/>
      <c r="CF60" s="513">
        <v>11</v>
      </c>
    </row>
    <row customHeight="1" ht="11.549999999999999">
      <c r="D61" s="662"/>
      <c r="E61" s="662"/>
      <c r="F61" s="662"/>
      <c r="G61" s="663"/>
      <c r="CF61" s="513">
        <v>11</v>
      </c>
    </row>
    <row customHeight="1" ht="11.549999999999999">
      <c r="CF62" s="513">
        <v>11</v>
      </c>
    </row>
    <row customHeight="1" ht="11.549999999999999">
      <c r="D63" s="664"/>
      <c r="E63" s="2405"/>
      <c r="F63" s="2405"/>
      <c r="G63" s="2405"/>
      <c r="H63" s="2405"/>
      <c r="I63" s="2405"/>
      <c r="J63" s="2405"/>
      <c r="K63" s="2405"/>
      <c r="L63" s="2405"/>
      <c r="M63" s="2405"/>
      <c r="N63" s="2405"/>
      <c r="O63" s="2405"/>
      <c r="P63" s="2405"/>
      <c r="Q63" s="2405"/>
      <c r="R63" s="2405"/>
      <c r="CF63" s="513">
        <v>11</v>
      </c>
    </row>
    <row customHeight="1" ht="11.549999999999999">
      <c r="F64" s="766"/>
      <c r="G64" s="766"/>
      <c r="CF64" s="513">
        <v>11</v>
      </c>
    </row>
    <row customHeight="1" ht="11.25" hidden="1">
      <c r="A65" s="618" t="s">
        <v>82</v>
      </c>
      <c r="B65" s="457">
        <v>0</v>
      </c>
      <c r="C65" s="513">
        <v>3</v>
      </c>
      <c r="D65" s="513">
        <v>0</v>
      </c>
      <c r="E65" s="513">
        <v>7</v>
      </c>
      <c r="F65" s="513">
        <v>7</v>
      </c>
      <c r="G65" s="513">
        <v>29</v>
      </c>
      <c r="H65" s="513">
        <v>3</v>
      </c>
      <c r="I65" s="513">
        <v>5</v>
      </c>
      <c r="J65" s="513">
        <v>24</v>
      </c>
      <c r="K65" s="513">
        <v>24</v>
      </c>
      <c r="L65" s="513">
        <v>3</v>
      </c>
      <c r="M65" s="513">
        <v>6</v>
      </c>
      <c r="N65" s="513">
        <v>25</v>
      </c>
      <c r="O65" s="513">
        <v>18</v>
      </c>
      <c r="P65" s="513">
        <v>18</v>
      </c>
      <c r="Q65" s="513">
        <v>18</v>
      </c>
      <c r="R65" s="513">
        <v>18</v>
      </c>
      <c r="S65" s="513">
        <v>93</v>
      </c>
      <c r="T65" s="513">
        <v>10</v>
      </c>
      <c r="U65" s="619">
        <v>10</v>
      </c>
      <c r="V65" s="619">
        <v>11</v>
      </c>
      <c r="W65" s="620">
        <v>10</v>
      </c>
      <c r="X65" s="457">
        <v>10</v>
      </c>
      <c r="Y65" s="457">
        <v>10</v>
      </c>
      <c r="Z65" s="457">
        <v>10</v>
      </c>
      <c r="AA65" s="457">
        <v>10</v>
      </c>
      <c r="AB65" s="513">
        <v>8</v>
      </c>
      <c r="AC65" s="513">
        <v>8</v>
      </c>
      <c r="AD65" s="513">
        <v>8</v>
      </c>
      <c r="AE65" s="513">
        <v>8</v>
      </c>
      <c r="AF65" s="513">
        <v>8</v>
      </c>
      <c r="AG65" s="513">
        <v>8</v>
      </c>
      <c r="AH65" s="513">
        <v>8</v>
      </c>
      <c r="AI65" s="513">
        <v>8</v>
      </c>
      <c r="AJ65" s="513">
        <v>8</v>
      </c>
      <c r="AK65" s="513">
        <v>8</v>
      </c>
      <c r="AL65" s="513">
        <v>8</v>
      </c>
      <c r="AM65" s="513">
        <v>8</v>
      </c>
      <c r="AN65" s="513">
        <v>8</v>
      </c>
      <c r="AO65" s="513">
        <v>8</v>
      </c>
      <c r="AP65" s="513">
        <v>8</v>
      </c>
      <c r="AQ65" s="513">
        <v>8</v>
      </c>
      <c r="AR65" s="513">
        <v>8</v>
      </c>
      <c r="AS65" s="513">
        <v>8</v>
      </c>
      <c r="AT65" s="513">
        <v>8</v>
      </c>
      <c r="AU65" s="513">
        <v>8</v>
      </c>
      <c r="AV65" s="513">
        <v>8</v>
      </c>
      <c r="AW65" s="513">
        <v>8</v>
      </c>
      <c r="AX65" s="513">
        <v>8</v>
      </c>
      <c r="AY65" s="513">
        <v>8</v>
      </c>
      <c r="AZ65" s="513">
        <v>8</v>
      </c>
      <c r="BA65" s="513">
        <v>8</v>
      </c>
      <c r="BB65" s="513">
        <v>8</v>
      </c>
      <c r="BC65" s="513">
        <v>8</v>
      </c>
      <c r="BD65" s="513">
        <v>8</v>
      </c>
      <c r="BE65" s="513">
        <v>8</v>
      </c>
      <c r="BF65" s="513">
        <v>8</v>
      </c>
      <c r="BG65" s="513">
        <v>8</v>
      </c>
      <c r="BH65" s="513">
        <v>8</v>
      </c>
      <c r="BI65" s="513">
        <v>8</v>
      </c>
      <c r="BJ65" s="513">
        <v>8</v>
      </c>
      <c r="BK65" s="513">
        <v>8</v>
      </c>
      <c r="BL65" s="513">
        <v>8</v>
      </c>
      <c r="BM65" s="513">
        <v>8</v>
      </c>
      <c r="BN65" s="513">
        <v>8</v>
      </c>
      <c r="BO65" s="513">
        <v>8</v>
      </c>
      <c r="BP65" s="513">
        <v>8</v>
      </c>
      <c r="BQ65" s="513">
        <v>8</v>
      </c>
      <c r="BR65" s="513">
        <v>8</v>
      </c>
      <c r="BS65" s="513">
        <v>8</v>
      </c>
      <c r="BT65" s="513">
        <v>8</v>
      </c>
      <c r="BU65" s="513">
        <v>8</v>
      </c>
      <c r="BV65" s="513">
        <v>8</v>
      </c>
      <c r="BW65" s="513">
        <v>8</v>
      </c>
      <c r="BX65" s="513">
        <v>8</v>
      </c>
      <c r="BY65" s="513">
        <v>8</v>
      </c>
      <c r="BZ65" s="513">
        <v>8</v>
      </c>
      <c r="CA65" s="513">
        <v>8</v>
      </c>
      <c r="CB65" s="513">
        <v>8</v>
      </c>
      <c r="CC65" s="513">
        <v>8</v>
      </c>
      <c r="CD65" s="513">
        <v>8</v>
      </c>
      <c r="CE65" s="513">
        <v>8</v>
      </c>
      <c r="CF65" s="513">
        <v>11</v>
      </c>
    </row>
  </sheetData>
  <sheetProtection sheet="1" formatColumns="0" formatRows="0" autoFilter="0" sort="1" insertRows="1" insertColumns="1" deleteRows="1" deleteColumns="1"/>
  <mergeCells count="74">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6D1AD-7F95-FF93-ACA5-C97CDD129EDB}" mc:Ignorable="x14ac xr xr2 xr3">
  <sheetPr>
    <tabColor theme="9" tint="-0.25"/>
  </sheetPr>
  <dimension ref="A1:AO204"/>
  <sheetViews>
    <sheetView showGridLines="0" zoomScale="80" workbookViewId="0">
      <pane xSplit="12" ySplit="14" topLeftCell="M15" activePane="bottomRight" state="frozen"/>
      <selection pane="bottomLeft" activeCell="A15" sqref="A15"/>
      <selection pane="topRight" activeCell="M1" sqref="M1"/>
      <selection pane="bottomRight" activeCell="J20" sqref="J20"/>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7" style="1643" width="40.57421875" customWidth="1"/>
    <col min="18" max="18" style="1374" width="9.7109375" hidden="1" customWidth="1"/>
    <col min="19" max="19" style="1643" width="102.00390625" customWidth="1"/>
    <col min="20" max="20" style="1374" width="9.00390625" customWidth="1"/>
    <col min="21" max="21" style="1650" width="5.00390625" customWidth="1"/>
    <col min="22" max="22" style="1650" width="3.00390625" customWidth="1"/>
    <col min="23" max="26" style="1374" width="3.00390625" customWidth="1"/>
    <col min="27" max="27" style="1650" width="10.00390625" customWidth="1"/>
    <col min="28" max="28" style="1374" width="34.00390625" customWidth="1"/>
    <col min="29" max="29" style="1374" width="9.00390625" customWidth="1"/>
    <col min="30" max="30" style="744" width="8.00390625" customWidth="1"/>
    <col min="31" max="35" style="1374" width="8.00390625" customWidth="1"/>
    <col min="36" max="40" style="1640" width="8.00390625" customWidth="1"/>
    <col min="41" max="41"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U1" s="1644"/>
      <c r="V1" s="1644"/>
      <c r="AA1" s="1644"/>
      <c r="AO1" s="1374" t="s">
        <v>14</v>
      </c>
    </row>
    <row s="1374" customFormat="1" customHeight="1" ht="78.75" hidden="1">
      <c r="A2" s="995"/>
      <c r="B2" s="2058" t="s">
        <v>636</v>
      </c>
      <c r="C2" s="2058" t="s">
        <v>637</v>
      </c>
      <c r="D2" s="2057" t="s">
        <v>638</v>
      </c>
      <c r="E2" s="2061">
        <f>RIGHT(I2,LEN(I2)-SEARCH("#",SUBSTITUTE(I2,".","#",LEN(I2)-LEN(SUBSTITUTE(I2,".","")))))</f>
      </c>
      <c r="F2" s="2063">
        <f>J2</f>
        <v>0</v>
      </c>
      <c r="G2" s="1644"/>
      <c r="H2" s="2064"/>
      <c r="I2" s="2054"/>
      <c r="J2" s="548"/>
      <c r="K2" s="2024" t="s">
        <v>573</v>
      </c>
      <c r="L2" s="759"/>
      <c r="M2" s="759"/>
      <c r="N2" s="759"/>
      <c r="O2" s="759"/>
      <c r="P2" s="759"/>
      <c r="Q2" s="759"/>
      <c r="R2" s="551"/>
      <c r="S2" s="1533" t="s">
        <v>574</v>
      </c>
      <c r="T2" s="551"/>
      <c r="U2" s="1644"/>
      <c r="V2" s="1644"/>
      <c r="AA2" s="1644"/>
      <c r="AD2" s="552"/>
      <c r="AJ2" s="1640"/>
      <c r="AK2" s="1640"/>
      <c r="AL2" s="1640"/>
      <c r="AM2" s="1640"/>
      <c r="AN2" s="1640"/>
      <c r="AO2" s="1374">
        <v>0</v>
      </c>
    </row>
    <row customHeight="1" ht="11.25" hidden="1">
      <c r="E3" s="2056" t="s">
        <v>639</v>
      </c>
      <c r="L3" s="1639">
        <f>0</f>
        <v>0</v>
      </c>
      <c r="M3" s="1639">
        <v>1</v>
      </c>
      <c r="N3" s="1643">
        <f>0</f>
        <v>0</v>
      </c>
      <c r="O3" s="1643">
        <f>0</f>
        <v>0</v>
      </c>
      <c r="P3" s="1643">
        <f>0</f>
        <v>0</v>
      </c>
      <c r="Q3" s="1643">
        <f>0</f>
        <v>0</v>
      </c>
      <c r="AO3" s="1639">
        <v>0</v>
      </c>
    </row>
    <row s="1640" customFormat="1" customHeight="1" ht="11.25" hidden="1">
      <c r="A4" s="995"/>
      <c r="B4" s="995"/>
      <c r="C4" s="995"/>
      <c r="E4" s="995"/>
      <c r="F4" s="1374"/>
      <c r="G4" s="1644"/>
      <c r="H4" s="628"/>
      <c r="N4" s="1640"/>
      <c r="O4" s="1640"/>
      <c r="P4" s="1640"/>
      <c r="Q4" s="1640"/>
      <c r="R4" s="1374"/>
      <c r="S4" s="1640">
        <v>4</v>
      </c>
      <c r="T4" s="1374"/>
      <c r="U4" s="1644"/>
      <c r="V4" s="1644"/>
      <c r="W4" s="1374"/>
      <c r="X4" s="1374"/>
      <c r="Y4" s="1374"/>
      <c r="Z4" s="1374"/>
      <c r="AA4" s="1644"/>
      <c r="AB4" s="1374"/>
      <c r="AC4" s="1374"/>
      <c r="AD4" s="552"/>
      <c r="AE4" s="1374"/>
      <c r="AF4" s="1374"/>
      <c r="AG4" s="1374"/>
      <c r="AH4" s="1374"/>
      <c r="AI4" s="1374"/>
      <c r="AO4" s="1640">
        <v>0</v>
      </c>
    </row>
    <row customHeight="1" ht="11.549999999999999">
      <c r="N5" s="1643"/>
      <c r="O5" s="1643"/>
      <c r="P5" s="1643"/>
      <c r="Q5" s="1643"/>
      <c r="AO5" s="1639">
        <v>11</v>
      </c>
    </row>
    <row customHeight="1" ht="57.75">
      <c r="I6" s="2328" t="s">
        <v>640</v>
      </c>
      <c r="J6" s="2328"/>
      <c r="K6" s="2328"/>
      <c r="L6" s="2328"/>
      <c r="M6" s="2328"/>
      <c r="N6" s="2328"/>
      <c r="O6" s="2328"/>
      <c r="P6" s="2328"/>
      <c r="Q6" s="2328"/>
      <c r="S6" s="564"/>
      <c r="AO6" s="1639">
        <v>55</v>
      </c>
    </row>
    <row customHeight="1" ht="25.2">
      <c r="I7" s="2270" t="str">
        <f>IF(org=0,"Не определено",org)</f>
        <v>АО "ДГК"</v>
      </c>
      <c r="J7" s="2270"/>
      <c r="K7" s="2270"/>
      <c r="L7" s="2270"/>
      <c r="M7" s="2270"/>
      <c r="N7" s="2270"/>
      <c r="O7" s="2270"/>
      <c r="P7" s="2270"/>
      <c r="Q7" s="2270"/>
      <c r="AO7" s="1639">
        <v>24</v>
      </c>
    </row>
    <row customHeight="1" ht="11.549999999999999">
      <c r="I8" s="1143"/>
      <c r="J8" s="1143"/>
      <c r="K8" s="1143"/>
      <c r="L8" s="1143"/>
      <c r="M8" s="1143"/>
      <c r="N8" s="1144" t="s">
        <v>22</v>
      </c>
      <c r="O8" s="1144" t="s">
        <v>22</v>
      </c>
      <c r="P8" s="1144" t="s">
        <v>22</v>
      </c>
      <c r="Q8" s="1144" t="s">
        <v>22</v>
      </c>
      <c r="AO8" s="1639">
        <v>11</v>
      </c>
    </row>
    <row s="1650" customFormat="1" customHeight="1" ht="30" hidden="1">
      <c r="A9" s="1175"/>
      <c r="B9" s="1175"/>
      <c r="C9" s="1175"/>
      <c r="E9" s="1175"/>
      <c r="H9" s="1650"/>
      <c r="L9" s="897"/>
      <c r="M9" s="897" t="s">
        <v>126</v>
      </c>
      <c r="N9" s="897" t="s">
        <v>132</v>
      </c>
      <c r="O9" s="897" t="s">
        <v>135</v>
      </c>
      <c r="P9" s="897" t="s">
        <v>137</v>
      </c>
      <c r="Q9" s="897" t="s">
        <v>139</v>
      </c>
      <c r="AO9" s="1644">
        <v>1</v>
      </c>
    </row>
    <row customHeight="1" ht="105.75">
      <c r="E10" s="2055" t="s">
        <v>641</v>
      </c>
      <c r="I10" s="719"/>
      <c r="J10" s="2388" t="s">
        <v>114</v>
      </c>
      <c r="K10" s="2389"/>
      <c r="L10" s="2034" t="str">
        <f>IF(L9="","",INDEX(DIFFERENTIATION_UNMERGE_VD,MATCH(L9,DIFFERENTIATION_ID_DIFF,0)))</f>
        <v/>
      </c>
      <c r="M10" s="2034"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414" t="str">
        <f>IF(N9="","",INDEX(DIFFERENTIATION_UNMERGE_VD,MATCH(N9,DIFFERENTIATION_ID_DIFF,0)))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414" t="str">
        <f>IF(O9="","",INDEX(DIFFERENTIATION_UNMERGE_VD,MATCH(O9,DIFFERENTIATION_ID_DIFF,0)))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414" t="str">
        <f>IF(P9="","",INDEX(DIFFERENTIATION_UNMERGE_VD,MATCH(P9,DIFFERENTIATION_ID_DIFF,0)))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0" s="2414" t="str">
        <f>IF(Q9="","",INDEX(DIFFERENTIATION_UNMERGE_VD,MATCH(Q9,DIFFERENTIATION_ID_DIFF,0)))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S10" s="2148" t="s">
        <v>318</v>
      </c>
      <c r="AO10" s="1639">
        <v>11</v>
      </c>
    </row>
    <row customHeight="1" ht="11.549999999999999">
      <c r="E11" s="2055" t="s">
        <v>642</v>
      </c>
      <c r="I11" s="719"/>
      <c r="J11" s="2388" t="s">
        <v>581</v>
      </c>
      <c r="K11" s="2389"/>
      <c r="L11" s="2034" t="str">
        <f>IF(L9="","",INDEX(DIFFERENTIATION_UNMERGE_AREA,MATCH(L9,DIFFERENTIATION_ID_DIFF,0)))</f>
        <v/>
      </c>
      <c r="M11" s="2034" t="str">
        <f>IF(M9="","",INDEX(DIFFERENTIATION_UNMERGE_AREA,MATCH(M9,DIFFERENTIATION_ID_DIFF,0)))</f>
        <v>Территория 1</v>
      </c>
      <c r="N11" s="2414" t="str">
        <f>IF(N9="","",INDEX(DIFFERENTIATION_UNMERGE_AREA,MATCH(N9,DIFFERENTIATION_ID_DIFF,0)))</f>
        <v>Территория 2</v>
      </c>
      <c r="O11" s="2414" t="str">
        <f>IF(O9="","",INDEX(DIFFERENTIATION_UNMERGE_AREA,MATCH(O9,DIFFERENTIATION_ID_DIFF,0)))</f>
        <v>Территория 2</v>
      </c>
      <c r="P11" s="2414" t="str">
        <f>IF(P9="","",INDEX(DIFFERENTIATION_UNMERGE_AREA,MATCH(P9,DIFFERENTIATION_ID_DIFF,0)))</f>
        <v>Территория 3</v>
      </c>
      <c r="Q11" s="2414" t="str">
        <f>IF(Q9="","",INDEX(DIFFERENTIATION_UNMERGE_AREA,MATCH(Q9,DIFFERENTIATION_ID_DIFF,0)))</f>
        <v>Территория 3</v>
      </c>
      <c r="S11" s="2148"/>
      <c r="AO11" s="1639">
        <v>11</v>
      </c>
    </row>
    <row customHeight="1" ht="34.5">
      <c r="E12" s="2055" t="s">
        <v>643</v>
      </c>
      <c r="I12" s="1670"/>
      <c r="J12" s="2388" t="s">
        <v>582</v>
      </c>
      <c r="K12" s="2389"/>
      <c r="L12" s="2034" t="str">
        <f>IF(L9="","",INDEX(DIFFERENTIATION_UNMERGE_SYSTEM,MATCH(L9,DIFFERENTIATION_ID_DIFF,0)))</f>
        <v/>
      </c>
      <c r="M12" s="2034" t="str">
        <f>IF(M9="","",INDEX(DIFFERENTIATION_UNMERGE_SYSTEM,MATCH(M9,DIFFERENTIATION_ID_DIFF,0)))</f>
        <v>Благовещенская ТЭЦ, ТС Благовещенск</v>
      </c>
      <c r="N12" s="2414" t="str">
        <f>IF(N9="","",INDEX(DIFFERENTIATION_UNMERGE_SYSTEM,MATCH(N9,DIFFERENTIATION_ID_DIFF,0)))</f>
        <v>Райчихинская ГРЭС, ТС Прогресс</v>
      </c>
      <c r="O12" s="2414" t="str">
        <f>IF(O9="","",INDEX(DIFFERENTIATION_UNMERGE_SYSTEM,MATCH(O9,DIFFERENTIATION_ID_DIFF,0)))</f>
        <v>Котельная (Новорайчихинск)</v>
      </c>
      <c r="P12" s="2414" t="str">
        <f>IF(P9="","",INDEX(DIFFERENTIATION_UNMERGE_SYSTEM,MATCH(P9,DIFFERENTIATION_ID_DIFF,0)))</f>
        <v>Благовещенская ТЭЦ (с. Чигири)</v>
      </c>
      <c r="Q12" s="2414" t="str">
        <f>IF(Q9="","",INDEX(DIFFERENTIATION_UNMERGE_SYSTEM,MATCH(Q9,DIFFERENTIATION_ID_DIFF,0)))</f>
        <v>Котельная Центральная (с.Чигири)</v>
      </c>
      <c r="S12" s="2148"/>
      <c r="AO12" s="1639">
        <v>11</v>
      </c>
    </row>
    <row customHeight="1" ht="11.549999999999999">
      <c r="E13" s="2055" t="s">
        <v>644</v>
      </c>
      <c r="F13" s="2055" t="s">
        <v>645</v>
      </c>
      <c r="I13" s="2390" t="s">
        <v>317</v>
      </c>
      <c r="J13" s="2391"/>
      <c r="K13" s="2391"/>
      <c r="L13" s="2032"/>
      <c r="M13" s="2072"/>
      <c r="N13" s="2388"/>
      <c r="O13" s="2388"/>
      <c r="P13" s="2388"/>
      <c r="Q13" s="2388"/>
      <c r="S13" s="2148"/>
      <c r="AO13" s="1639">
        <v>11</v>
      </c>
    </row>
    <row customHeight="1" ht="24">
      <c r="I14" s="2025" t="s">
        <v>88</v>
      </c>
      <c r="J14" s="2025" t="s">
        <v>319</v>
      </c>
      <c r="K14" s="2025" t="s">
        <v>583</v>
      </c>
      <c r="L14" s="2065" t="s">
        <v>320</v>
      </c>
      <c r="M14" s="2066" t="s">
        <v>320</v>
      </c>
      <c r="N14" s="2283" t="s">
        <v>320</v>
      </c>
      <c r="O14" s="2283" t="s">
        <v>320</v>
      </c>
      <c r="P14" s="2283" t="s">
        <v>320</v>
      </c>
      <c r="Q14" s="2283" t="s">
        <v>320</v>
      </c>
      <c r="S14" s="2148"/>
      <c r="AO14" s="1639">
        <v>23</v>
      </c>
    </row>
    <row customHeight="1" ht="24">
      <c r="A15" s="2059"/>
      <c r="B15" s="2058" t="s">
        <v>646</v>
      </c>
      <c r="C15" s="2058" t="s">
        <v>647</v>
      </c>
      <c r="D15" s="2057" t="s">
        <v>648</v>
      </c>
      <c r="E15" s="2061" t="s">
        <v>649</v>
      </c>
      <c r="F15" s="2061" t="s">
        <v>649</v>
      </c>
      <c r="G15" s="1644" t="s">
        <v>597</v>
      </c>
      <c r="H15" s="2026"/>
      <c r="I15" s="1638">
        <v>1</v>
      </c>
      <c r="J15" s="2027" t="s">
        <v>650</v>
      </c>
      <c r="K15" s="2025" t="s">
        <v>323</v>
      </c>
      <c r="L15" s="670"/>
      <c r="M15" s="2917" t="s">
        <v>651</v>
      </c>
      <c r="N15" s="2918" t="s">
        <v>651</v>
      </c>
      <c r="O15" s="2918" t="s">
        <v>651</v>
      </c>
      <c r="P15" s="2918" t="s">
        <v>651</v>
      </c>
      <c r="Q15" s="2918" t="s">
        <v>651</v>
      </c>
      <c r="R15" s="551" t="s">
        <v>652</v>
      </c>
      <c r="S15" s="1533" t="s">
        <v>653</v>
      </c>
      <c r="T15" s="551" t="s">
        <v>652</v>
      </c>
      <c r="AO15" s="1639">
        <v>23</v>
      </c>
    </row>
    <row customHeight="1" ht="36">
      <c r="A16" s="2059"/>
      <c r="B16" s="2058" t="s">
        <v>654</v>
      </c>
      <c r="C16" s="2058" t="s">
        <v>655</v>
      </c>
      <c r="D16" s="2057" t="s">
        <v>638</v>
      </c>
      <c r="E16" s="2061" t="s">
        <v>649</v>
      </c>
      <c r="F16" s="2061" t="s">
        <v>649</v>
      </c>
      <c r="H16" s="2026"/>
      <c r="I16" s="1637">
        <v>2</v>
      </c>
      <c r="J16" s="2068" t="s">
        <v>656</v>
      </c>
      <c r="K16" s="2067" t="s">
        <v>573</v>
      </c>
      <c r="L16" s="2073"/>
      <c r="M16" s="1683">
        <v>1005.6</v>
      </c>
      <c r="N16" s="2073">
        <v>173.1</v>
      </c>
      <c r="O16" s="2073">
        <v>19</v>
      </c>
      <c r="P16" s="2073">
        <v>0</v>
      </c>
      <c r="Q16" s="2073">
        <v>19</v>
      </c>
      <c r="R16" s="551" t="s">
        <v>652</v>
      </c>
      <c r="S16" s="1533" t="s">
        <v>657</v>
      </c>
      <c r="T16" s="551" t="s">
        <v>652</v>
      </c>
      <c r="AO16" s="1639">
        <v>34</v>
      </c>
    </row>
    <row s="1650" customFormat="1" customHeight="1" ht="17.25" hidden="1">
      <c r="A17" s="1175"/>
      <c r="B17" s="1175"/>
      <c r="C17" s="1175"/>
      <c r="D17" s="1175"/>
      <c r="E17" s="1175"/>
      <c r="H17" s="1332"/>
      <c r="I17" s="1021" t="s">
        <v>658</v>
      </c>
      <c r="J17" s="999"/>
      <c r="K17" s="1021"/>
      <c r="L17" s="1000"/>
      <c r="M17" s="1000"/>
      <c r="N17" s="1000"/>
      <c r="O17" s="1000"/>
      <c r="P17" s="1000"/>
      <c r="Q17" s="1000"/>
      <c r="S17" s="1393"/>
      <c r="AO17" s="1644">
        <v>1</v>
      </c>
    </row>
    <row s="1374" customFormat="1" customHeight="1" ht="24">
      <c r="A18" s="995"/>
      <c r="B18" s="995"/>
      <c r="C18" s="995"/>
      <c r="D18" s="995"/>
      <c r="E18" s="995"/>
      <c r="G18" s="1644"/>
      <c r="H18" s="1641"/>
      <c r="I18" s="578"/>
      <c r="J18" s="579" t="s">
        <v>604</v>
      </c>
      <c r="K18" s="580"/>
      <c r="L18" s="2075"/>
      <c r="M18" s="581"/>
      <c r="N18" s="2683"/>
      <c r="O18" s="2684"/>
      <c r="P18" s="2685"/>
      <c r="Q18" s="2686"/>
      <c r="R18" s="551"/>
      <c r="S18" s="1533" t="s">
        <v>605</v>
      </c>
      <c r="T18" s="551"/>
      <c r="U18" s="1644"/>
      <c r="V18" s="1644"/>
      <c r="AA18" s="1644"/>
      <c r="AD18" s="552"/>
      <c r="AJ18" s="1640"/>
      <c r="AK18" s="1640"/>
      <c r="AL18" s="1640"/>
      <c r="AM18" s="1640"/>
      <c r="AN18" s="1640"/>
      <c r="AO18" s="1374">
        <v>23</v>
      </c>
    </row>
    <row customHeight="1" ht="20.25">
      <c r="A19" s="2059"/>
      <c r="B19" s="2058" t="s">
        <v>659</v>
      </c>
      <c r="C19" s="2058" t="s">
        <v>660</v>
      </c>
      <c r="D19" s="2057" t="s">
        <v>638</v>
      </c>
      <c r="E19" s="2061" t="s">
        <v>649</v>
      </c>
      <c r="F19" s="2061" t="s">
        <v>649</v>
      </c>
      <c r="H19" s="2026"/>
      <c r="I19" s="1672">
        <v>3</v>
      </c>
      <c r="J19" s="2027" t="s">
        <v>660</v>
      </c>
      <c r="K19" s="2023" t="s">
        <v>573</v>
      </c>
      <c r="L19" s="735"/>
      <c r="M19" s="565">
        <v>1021.0907</v>
      </c>
      <c r="N19" s="735">
        <v>40.2674</v>
      </c>
      <c r="O19" s="735">
        <v>3.6234</v>
      </c>
      <c r="P19" s="735">
        <v>0</v>
      </c>
      <c r="Q19" s="735">
        <v>8.121</v>
      </c>
      <c r="R19" s="551"/>
      <c r="S19" s="1533" t="s">
        <v>661</v>
      </c>
      <c r="T19" s="551"/>
      <c r="AO19" s="1639">
        <v>19</v>
      </c>
    </row>
    <row customHeight="1" ht="78">
      <c r="A20" s="2059"/>
      <c r="B20" s="2058" t="s">
        <v>662</v>
      </c>
      <c r="C20" s="2058" t="s">
        <v>663</v>
      </c>
      <c r="D20" s="2057" t="s">
        <v>638</v>
      </c>
      <c r="E20" s="2061" t="s">
        <v>649</v>
      </c>
      <c r="F20" s="2061" t="s">
        <v>649</v>
      </c>
      <c r="H20" s="2026"/>
      <c r="I20" s="1672">
        <v>4</v>
      </c>
      <c r="J20" s="2027" t="s">
        <v>664</v>
      </c>
      <c r="K20" s="2023" t="s">
        <v>601</v>
      </c>
      <c r="L20" s="735"/>
      <c r="M20" s="565">
        <v>2309.41</v>
      </c>
      <c r="N20" s="735">
        <v>128.52</v>
      </c>
      <c r="O20" s="735">
        <v>19.41</v>
      </c>
      <c r="P20" s="735">
        <v>0</v>
      </c>
      <c r="Q20" s="735">
        <v>21.72</v>
      </c>
      <c r="R20" s="551"/>
      <c r="S20" s="1533"/>
      <c r="T20" s="551"/>
      <c r="AO20" s="1639">
        <v>74</v>
      </c>
    </row>
    <row customHeight="1" ht="36">
      <c r="A21" s="2059"/>
      <c r="B21" s="2058" t="s">
        <v>665</v>
      </c>
      <c r="C21" s="2058" t="s">
        <v>666</v>
      </c>
      <c r="D21" s="2057" t="s">
        <v>638</v>
      </c>
      <c r="E21" s="2061" t="s">
        <v>649</v>
      </c>
      <c r="F21" s="2061" t="s">
        <v>649</v>
      </c>
      <c r="H21" s="2026"/>
      <c r="I21" s="1672">
        <v>5</v>
      </c>
      <c r="J21" s="2027" t="s">
        <v>667</v>
      </c>
      <c r="K21" s="2023" t="s">
        <v>601</v>
      </c>
      <c r="L21" s="735"/>
      <c r="M21" s="565">
        <v>328.3983</v>
      </c>
      <c r="N21" s="735">
        <v>0</v>
      </c>
      <c r="O21" s="735">
        <v>0</v>
      </c>
      <c r="P21" s="735">
        <v>0</v>
      </c>
      <c r="Q21" s="735">
        <v>0</v>
      </c>
      <c r="R21" s="551"/>
      <c r="S21" s="1533" t="s">
        <v>661</v>
      </c>
      <c r="T21" s="551"/>
      <c r="AO21" s="1639">
        <v>34</v>
      </c>
    </row>
    <row customHeight="1" ht="48.29999999999999">
      <c r="A22" s="2059"/>
      <c r="B22" s="2058" t="s">
        <v>668</v>
      </c>
      <c r="C22" s="2058" t="s">
        <v>669</v>
      </c>
      <c r="D22" s="2057" t="s">
        <v>638</v>
      </c>
      <c r="E22" s="2061" t="s">
        <v>649</v>
      </c>
      <c r="F22" s="2061" t="s">
        <v>649</v>
      </c>
      <c r="H22" s="2026"/>
      <c r="I22" s="1672">
        <v>6</v>
      </c>
      <c r="J22" s="2027" t="s">
        <v>670</v>
      </c>
      <c r="K22" s="2023" t="s">
        <v>601</v>
      </c>
      <c r="L22" s="735"/>
      <c r="M22" s="565">
        <v>2324.101646</v>
      </c>
      <c r="N22" s="735">
        <v>95.58</v>
      </c>
      <c r="O22" s="735">
        <v>8.63</v>
      </c>
      <c r="P22" s="735">
        <v>147.18</v>
      </c>
      <c r="Q22" s="735">
        <v>15.83</v>
      </c>
      <c r="R22" s="551"/>
      <c r="S22" s="1533" t="s">
        <v>671</v>
      </c>
      <c r="T22" s="551"/>
      <c r="AO22" s="1639">
        <v>46</v>
      </c>
    </row>
    <row customHeight="1" ht="20.25">
      <c r="A23" s="2059"/>
      <c r="B23" s="2058" t="s">
        <v>672</v>
      </c>
      <c r="C23" s="2058" t="s">
        <v>673</v>
      </c>
      <c r="D23" s="2057" t="s">
        <v>638</v>
      </c>
      <c r="E23" s="2061" t="s">
        <v>649</v>
      </c>
      <c r="F23" s="2061" t="s">
        <v>649</v>
      </c>
      <c r="H23" s="2026"/>
      <c r="I23" s="1672" t="s">
        <v>674</v>
      </c>
      <c r="J23" s="1532" t="s">
        <v>675</v>
      </c>
      <c r="K23" s="2023" t="s">
        <v>601</v>
      </c>
      <c r="L23" s="735"/>
      <c r="M23" s="565">
        <v>1127.793523</v>
      </c>
      <c r="N23" s="735">
        <v>51.9</v>
      </c>
      <c r="O23" s="735">
        <v>4.66</v>
      </c>
      <c r="P23" s="735">
        <v>112.85</v>
      </c>
      <c r="Q23" s="735">
        <v>12.142326378</v>
      </c>
      <c r="R23" s="551"/>
      <c r="S23" s="1533" t="s">
        <v>661</v>
      </c>
      <c r="T23" s="551"/>
      <c r="AO23" s="1639">
        <v>19</v>
      </c>
    </row>
    <row customHeight="1" ht="20.25">
      <c r="A24" s="2059"/>
      <c r="B24" s="2058" t="s">
        <v>676</v>
      </c>
      <c r="C24" s="2058" t="s">
        <v>677</v>
      </c>
      <c r="D24" s="2057" t="s">
        <v>638</v>
      </c>
      <c r="E24" s="2061" t="s">
        <v>649</v>
      </c>
      <c r="F24" s="2061" t="s">
        <v>649</v>
      </c>
      <c r="H24" s="2026"/>
      <c r="I24" s="1672" t="s">
        <v>678</v>
      </c>
      <c r="J24" s="1532" t="s">
        <v>679</v>
      </c>
      <c r="K24" s="2023" t="s">
        <v>601</v>
      </c>
      <c r="L24" s="735"/>
      <c r="M24" s="565">
        <v>509.07</v>
      </c>
      <c r="N24" s="735">
        <v>10.95</v>
      </c>
      <c r="O24" s="735">
        <v>1.04</v>
      </c>
      <c r="P24" s="735">
        <v>8.88</v>
      </c>
      <c r="Q24" s="735">
        <v>0.95</v>
      </c>
      <c r="R24" s="551"/>
      <c r="S24" s="1533"/>
      <c r="T24" s="551"/>
      <c r="AO24" s="1639">
        <v>19</v>
      </c>
    </row>
    <row customHeight="1" ht="24">
      <c r="A25" s="2059"/>
      <c r="B25" s="2058" t="s">
        <v>680</v>
      </c>
      <c r="C25" s="2058" t="s">
        <v>681</v>
      </c>
      <c r="D25" s="2057" t="s">
        <v>638</v>
      </c>
      <c r="E25" s="2061" t="s">
        <v>649</v>
      </c>
      <c r="F25" s="2061" t="s">
        <v>649</v>
      </c>
      <c r="H25" s="2026"/>
      <c r="I25" s="1672" t="s">
        <v>682</v>
      </c>
      <c r="J25" s="1532" t="s">
        <v>683</v>
      </c>
      <c r="K25" s="2023" t="s">
        <v>601</v>
      </c>
      <c r="L25" s="735"/>
      <c r="M25" s="565">
        <v>687.235261</v>
      </c>
      <c r="N25" s="735">
        <v>32.73</v>
      </c>
      <c r="O25" s="735">
        <v>2.93</v>
      </c>
      <c r="P25" s="735">
        <v>25.45</v>
      </c>
      <c r="Q25" s="735">
        <v>2.738751582</v>
      </c>
      <c r="R25" s="551"/>
      <c r="S25" s="1533"/>
      <c r="T25" s="551"/>
      <c r="AO25" s="1639">
        <v>23</v>
      </c>
    </row>
    <row customHeight="1" ht="24">
      <c r="A26" s="2059"/>
      <c r="B26" s="2058" t="s">
        <v>684</v>
      </c>
      <c r="C26" s="2058" t="s">
        <v>685</v>
      </c>
      <c r="D26" s="2057" t="s">
        <v>638</v>
      </c>
      <c r="E26" s="2061" t="s">
        <v>649</v>
      </c>
      <c r="F26" s="2061" t="s">
        <v>649</v>
      </c>
      <c r="H26" s="2026"/>
      <c r="I26" s="1672">
        <v>7</v>
      </c>
      <c r="J26" s="2027" t="s">
        <v>685</v>
      </c>
      <c r="K26" s="2023" t="s">
        <v>686</v>
      </c>
      <c r="L26" s="735"/>
      <c r="M26" s="565">
        <v>265.14</v>
      </c>
      <c r="N26" s="735">
        <v>33.21</v>
      </c>
      <c r="O26" s="735">
        <v>13.09</v>
      </c>
      <c r="P26" s="735">
        <v>0</v>
      </c>
      <c r="Q26" s="735">
        <v>5.76</v>
      </c>
      <c r="R26" s="551"/>
      <c r="S26" s="1533"/>
      <c r="T26" s="551"/>
      <c r="AO26" s="1639">
        <v>23</v>
      </c>
    </row>
    <row customHeight="1" ht="24">
      <c r="A27" s="2059"/>
      <c r="B27" s="2058" t="s">
        <v>687</v>
      </c>
      <c r="C27" s="2058" t="s">
        <v>688</v>
      </c>
      <c r="D27" s="2057" t="s">
        <v>638</v>
      </c>
      <c r="E27" s="2061" t="s">
        <v>649</v>
      </c>
      <c r="F27" s="2061" t="s">
        <v>649</v>
      </c>
      <c r="H27" s="2026"/>
      <c r="I27" s="1672">
        <v>8</v>
      </c>
      <c r="J27" s="2027" t="s">
        <v>688</v>
      </c>
      <c r="K27" s="2023" t="s">
        <v>606</v>
      </c>
      <c r="L27" s="735"/>
      <c r="M27" s="565">
        <v>200.85</v>
      </c>
      <c r="N27" s="735">
        <v>29.94</v>
      </c>
      <c r="O27" s="735">
        <v>10.58</v>
      </c>
      <c r="P27" s="735">
        <v>0</v>
      </c>
      <c r="Q27" s="735">
        <v>5.76</v>
      </c>
      <c r="R27" s="551"/>
      <c r="S27" s="1533"/>
      <c r="T27" s="551"/>
      <c r="AO27" s="1639">
        <v>23</v>
      </c>
    </row>
    <row customHeight="1" ht="36">
      <c r="A28" s="2059"/>
      <c r="B28" s="2058" t="s">
        <v>689</v>
      </c>
      <c r="C28" s="2058" t="s">
        <v>690</v>
      </c>
      <c r="D28" s="2057" t="s">
        <v>638</v>
      </c>
      <c r="E28" s="2061" t="s">
        <v>649</v>
      </c>
      <c r="F28" s="2061" t="s">
        <v>649</v>
      </c>
      <c r="H28" s="2026"/>
      <c r="I28" s="1682">
        <v>9</v>
      </c>
      <c r="J28" s="2027" t="s">
        <v>691</v>
      </c>
      <c r="K28" s="2023" t="s">
        <v>577</v>
      </c>
      <c r="L28" s="735"/>
      <c r="M28" s="565">
        <v>146.73</v>
      </c>
      <c r="N28" s="735">
        <v>176.74</v>
      </c>
      <c r="O28" s="735">
        <v>259.67</v>
      </c>
      <c r="P28" s="735">
        <v>0</v>
      </c>
      <c r="Q28" s="735">
        <v>217.89</v>
      </c>
      <c r="R28" s="551"/>
      <c r="S28" s="1533"/>
      <c r="T28" s="551"/>
      <c r="AO28" s="1639">
        <v>34</v>
      </c>
    </row>
    <row customHeight="1" ht="36">
      <c r="A29" s="2059"/>
      <c r="B29" s="2058" t="s">
        <v>692</v>
      </c>
      <c r="C29" s="2058" t="s">
        <v>693</v>
      </c>
      <c r="D29" s="2057" t="s">
        <v>638</v>
      </c>
      <c r="E29" s="2061" t="s">
        <v>649</v>
      </c>
      <c r="F29" s="2061" t="s">
        <v>649</v>
      </c>
      <c r="H29" s="2026"/>
      <c r="I29" s="1682">
        <v>10</v>
      </c>
      <c r="J29" s="2027" t="s">
        <v>694</v>
      </c>
      <c r="K29" s="2023" t="s">
        <v>577</v>
      </c>
      <c r="L29" s="735"/>
      <c r="M29" s="565">
        <v>147.28</v>
      </c>
      <c r="N29" s="735">
        <v>173.03</v>
      </c>
      <c r="O29" s="735">
        <v>254.82</v>
      </c>
      <c r="P29" s="735">
        <v>0</v>
      </c>
      <c r="Q29" s="735">
        <v>223.08</v>
      </c>
      <c r="R29" s="551"/>
      <c r="S29" s="1533"/>
      <c r="T29" s="551"/>
      <c r="AO29" s="1639">
        <v>34</v>
      </c>
    </row>
    <row customHeight="1" ht="24">
      <c r="A30" s="2059"/>
      <c r="B30" s="2058" t="s">
        <v>695</v>
      </c>
      <c r="C30" s="2058" t="s">
        <v>696</v>
      </c>
      <c r="D30" s="2057" t="s">
        <v>638</v>
      </c>
      <c r="E30" s="2061" t="s">
        <v>649</v>
      </c>
      <c r="F30" s="2061" t="s">
        <v>649</v>
      </c>
      <c r="H30" s="2026"/>
      <c r="I30" s="1682">
        <v>11</v>
      </c>
      <c r="J30" s="2027" t="s">
        <v>696</v>
      </c>
      <c r="K30" s="2023" t="s">
        <v>607</v>
      </c>
      <c r="L30" s="2074"/>
      <c r="M30" s="1629">
        <v>51</v>
      </c>
      <c r="N30" s="2074">
        <v>16</v>
      </c>
      <c r="O30" s="2074">
        <v>9</v>
      </c>
      <c r="P30" s="2074">
        <v>10</v>
      </c>
      <c r="Q30" s="2074">
        <v>11</v>
      </c>
      <c r="R30" s="551"/>
      <c r="S30" s="1533"/>
      <c r="T30" s="551"/>
      <c r="AO30" s="1639">
        <v>23</v>
      </c>
    </row>
    <row customHeight="1" ht="24">
      <c r="A31" s="2059"/>
      <c r="B31" s="2058" t="s">
        <v>697</v>
      </c>
      <c r="C31" s="2058" t="s">
        <v>698</v>
      </c>
      <c r="D31" s="2057" t="s">
        <v>638</v>
      </c>
      <c r="E31" s="2061" t="s">
        <v>649</v>
      </c>
      <c r="F31" s="2061" t="s">
        <v>649</v>
      </c>
      <c r="H31" s="2026"/>
      <c r="I31" s="1682">
        <v>12</v>
      </c>
      <c r="J31" s="2027" t="s">
        <v>698</v>
      </c>
      <c r="K31" s="2023" t="s">
        <v>607</v>
      </c>
      <c r="L31" s="2074"/>
      <c r="M31" s="1629">
        <v>6</v>
      </c>
      <c r="N31" s="2074">
        <v>1</v>
      </c>
      <c r="O31" s="2074">
        <v>1</v>
      </c>
      <c r="P31" s="2074">
        <v>0</v>
      </c>
      <c r="Q31" s="2074">
        <v>0</v>
      </c>
      <c r="R31" s="551"/>
      <c r="S31" s="1533"/>
      <c r="T31" s="551"/>
      <c r="AO31" s="1639">
        <v>23</v>
      </c>
    </row>
    <row customHeight="1" ht="48.29999999999999">
      <c r="A32" s="2059"/>
      <c r="B32" s="2058" t="s">
        <v>699</v>
      </c>
      <c r="C32" s="2058" t="s">
        <v>700</v>
      </c>
      <c r="D32" s="2057" t="s">
        <v>638</v>
      </c>
      <c r="E32" s="2061" t="s">
        <v>649</v>
      </c>
      <c r="F32" s="2061" t="s">
        <v>649</v>
      </c>
      <c r="H32" s="2026"/>
      <c r="I32" s="1682">
        <v>13</v>
      </c>
      <c r="J32" s="2027" t="s">
        <v>701</v>
      </c>
      <c r="K32" s="2023" t="s">
        <v>617</v>
      </c>
      <c r="L32" s="735"/>
      <c r="M32" s="565">
        <v>0.06</v>
      </c>
      <c r="N32" s="735">
        <v>0.04</v>
      </c>
      <c r="O32" s="735">
        <v>0.03</v>
      </c>
      <c r="P32" s="735">
        <v>0</v>
      </c>
      <c r="Q32" s="735">
        <v>0.01</v>
      </c>
      <c r="R32" s="551"/>
      <c r="S32" s="1533" t="s">
        <v>661</v>
      </c>
      <c r="T32" s="551"/>
      <c r="AO32" s="1639">
        <v>46</v>
      </c>
    </row>
    <row s="1374" customFormat="1" customHeight="1" ht="48.29999999999999">
      <c r="A33" s="2059"/>
      <c r="B33" s="2058" t="s">
        <v>702</v>
      </c>
      <c r="C33" s="2058" t="s">
        <v>703</v>
      </c>
      <c r="D33" s="2057" t="s">
        <v>638</v>
      </c>
      <c r="E33" s="2061" t="s">
        <v>649</v>
      </c>
      <c r="F33" s="2061" t="s">
        <v>649</v>
      </c>
      <c r="G33" s="1644"/>
      <c r="H33" s="2026"/>
      <c r="I33" s="1682">
        <v>14</v>
      </c>
      <c r="J33" s="2039" t="s">
        <v>704</v>
      </c>
      <c r="K33" s="2028" t="s">
        <v>705</v>
      </c>
      <c r="L33" s="735"/>
      <c r="M33" s="565">
        <v>2.49</v>
      </c>
      <c r="N33" s="735">
        <v>2.13</v>
      </c>
      <c r="O33" s="735">
        <v>0.16</v>
      </c>
      <c r="P33" s="735">
        <v>0</v>
      </c>
      <c r="Q33" s="735">
        <v>0.92</v>
      </c>
      <c r="R33" s="551"/>
      <c r="S33" s="1533" t="s">
        <v>661</v>
      </c>
      <c r="T33" s="551"/>
      <c r="U33" s="1644"/>
      <c r="V33" s="1644"/>
      <c r="AA33" s="1644"/>
      <c r="AD33" s="552"/>
      <c r="AJ33" s="1640"/>
      <c r="AK33" s="1640"/>
      <c r="AL33" s="1640"/>
      <c r="AM33" s="1640"/>
      <c r="AN33" s="1640"/>
      <c r="AO33" s="1374">
        <v>46</v>
      </c>
    </row>
    <row customHeight="1" ht="108">
      <c r="A34" s="2059"/>
      <c r="B34" s="2058" t="s">
        <v>706</v>
      </c>
      <c r="C34" s="2058" t="s">
        <v>707</v>
      </c>
      <c r="D34" s="2057" t="s">
        <v>648</v>
      </c>
      <c r="E34" s="2061" t="s">
        <v>649</v>
      </c>
      <c r="F34" s="2061" t="s">
        <v>649</v>
      </c>
      <c r="G34" s="1644" t="s">
        <v>597</v>
      </c>
      <c r="H34" s="2026"/>
      <c r="I34" s="2037">
        <v>15</v>
      </c>
      <c r="J34" s="2038" t="s">
        <v>708</v>
      </c>
      <c r="K34" s="2023" t="s">
        <v>323</v>
      </c>
      <c r="L34" s="393"/>
      <c r="M34" s="2919" t="s">
        <v>709</v>
      </c>
      <c r="N34" s="2921" t="s">
        <v>710</v>
      </c>
      <c r="O34" s="2921" t="s">
        <v>711</v>
      </c>
      <c r="P34" s="2921" t="s">
        <v>709</v>
      </c>
      <c r="Q34" s="2921" t="s">
        <v>712</v>
      </c>
      <c r="R34" s="551"/>
      <c r="S34" s="1533" t="s">
        <v>653</v>
      </c>
      <c r="T34" s="551"/>
      <c r="AO34" s="1639">
        <v>103</v>
      </c>
    </row>
    <row s="1649" customFormat="1" customHeight="1" ht="11.549999999999999">
      <c r="A35" s="995"/>
      <c r="B35" s="995"/>
      <c r="C35" s="995"/>
      <c r="D35" s="995"/>
      <c r="E35" s="995"/>
      <c r="F35" s="1644"/>
      <c r="G35" s="1644"/>
      <c r="H35" s="359"/>
      <c r="N35" s="1649"/>
      <c r="O35" s="1649"/>
      <c r="P35" s="1649"/>
      <c r="Q35" s="1649"/>
      <c r="R35" s="1374"/>
      <c r="T35" s="1374"/>
      <c r="U35" s="1644"/>
      <c r="V35" s="1644"/>
      <c r="W35" s="1374"/>
      <c r="X35" s="1374"/>
      <c r="Y35" s="1374"/>
      <c r="Z35" s="1374"/>
      <c r="AA35" s="1644"/>
      <c r="AB35" s="1374"/>
      <c r="AC35" s="1374"/>
      <c r="AD35" s="552"/>
      <c r="AE35" s="1374"/>
      <c r="AF35" s="1374"/>
      <c r="AG35" s="1374"/>
      <c r="AH35" s="1374"/>
      <c r="AI35" s="1374"/>
      <c r="AJ35" s="1640"/>
      <c r="AK35" s="630"/>
      <c r="AL35" s="630"/>
      <c r="AM35" s="630"/>
      <c r="AN35" s="630"/>
      <c r="AO35" s="1649">
        <v>11</v>
      </c>
    </row>
    <row s="1649" customFormat="1" customHeight="1" ht="11.549999999999999">
      <c r="A36" s="995"/>
      <c r="B36" s="995"/>
      <c r="C36" s="995"/>
      <c r="D36" s="995"/>
      <c r="E36" s="995"/>
      <c r="F36" s="1644"/>
      <c r="G36" s="1644"/>
      <c r="H36" s="359"/>
      <c r="N36" s="1649"/>
      <c r="O36" s="1649"/>
      <c r="P36" s="1649"/>
      <c r="Q36" s="1649"/>
      <c r="R36" s="1374"/>
      <c r="T36" s="1374"/>
      <c r="U36" s="1644"/>
      <c r="V36" s="1644"/>
      <c r="W36" s="1374"/>
      <c r="X36" s="1374"/>
      <c r="Y36" s="1374"/>
      <c r="Z36" s="1374"/>
      <c r="AA36" s="1644"/>
      <c r="AB36" s="1374"/>
      <c r="AC36" s="1374"/>
      <c r="AD36" s="552"/>
      <c r="AE36" s="1374"/>
      <c r="AF36" s="1374"/>
      <c r="AG36" s="1374"/>
      <c r="AH36" s="1374"/>
      <c r="AI36" s="1374"/>
      <c r="AJ36" s="1640"/>
      <c r="AK36" s="630"/>
      <c r="AL36" s="630"/>
      <c r="AM36" s="630"/>
      <c r="AN36" s="630"/>
      <c r="AO36" s="1649">
        <v>11</v>
      </c>
    </row>
    <row s="1649" customFormat="1" customHeight="1" ht="11.549999999999999">
      <c r="A37" s="995"/>
      <c r="B37" s="995"/>
      <c r="C37" s="995"/>
      <c r="D37" s="995"/>
      <c r="E37" s="995"/>
      <c r="F37" s="1644"/>
      <c r="G37" s="1644"/>
      <c r="H37" s="359"/>
      <c r="L37" s="630"/>
      <c r="M37" s="630"/>
      <c r="N37" s="630"/>
      <c r="O37" s="630"/>
      <c r="P37" s="630"/>
      <c r="Q37" s="630"/>
      <c r="R37" s="1374"/>
      <c r="T37" s="1374"/>
      <c r="U37" s="1644"/>
      <c r="V37" s="1644"/>
      <c r="W37" s="1374"/>
      <c r="X37" s="1374"/>
      <c r="Y37" s="1374"/>
      <c r="Z37" s="1374"/>
      <c r="AA37" s="1644"/>
      <c r="AB37" s="1374"/>
      <c r="AC37" s="1374"/>
      <c r="AD37" s="552"/>
      <c r="AE37" s="1374"/>
      <c r="AF37" s="1374"/>
      <c r="AG37" s="1374"/>
      <c r="AH37" s="1374"/>
      <c r="AI37" s="1374"/>
      <c r="AJ37" s="1640"/>
      <c r="AK37" s="630"/>
      <c r="AL37" s="630"/>
      <c r="AM37" s="630"/>
      <c r="AN37" s="630"/>
      <c r="AO37" s="1649">
        <v>11</v>
      </c>
    </row>
    <row s="1649" customFormat="1" customHeight="1" ht="11.549999999999999">
      <c r="A38" s="995"/>
      <c r="B38" s="995"/>
      <c r="C38" s="995"/>
      <c r="D38" s="995"/>
      <c r="E38" s="995"/>
      <c r="F38" s="1644"/>
      <c r="G38" s="1644"/>
      <c r="H38" s="359"/>
      <c r="N38" s="1649"/>
      <c r="O38" s="1649"/>
      <c r="P38" s="1649"/>
      <c r="Q38" s="1649"/>
      <c r="R38" s="1374"/>
      <c r="T38" s="1374"/>
      <c r="U38" s="1644"/>
      <c r="V38" s="1644"/>
      <c r="W38" s="1374"/>
      <c r="X38" s="1374"/>
      <c r="Y38" s="1374"/>
      <c r="Z38" s="1374"/>
      <c r="AA38" s="1644"/>
      <c r="AB38" s="1374"/>
      <c r="AC38" s="1374"/>
      <c r="AD38" s="552"/>
      <c r="AE38" s="1374"/>
      <c r="AF38" s="1374"/>
      <c r="AG38" s="1374"/>
      <c r="AH38" s="1374"/>
      <c r="AI38" s="1374"/>
      <c r="AJ38" s="1640"/>
      <c r="AK38" s="630"/>
      <c r="AL38" s="630"/>
      <c r="AM38" s="630"/>
      <c r="AN38" s="630"/>
      <c r="AO38" s="1649">
        <v>11</v>
      </c>
    </row>
    <row s="1649" customFormat="1" customHeight="1" ht="11.549999999999999">
      <c r="A39" s="995"/>
      <c r="B39" s="995"/>
      <c r="C39" s="995"/>
      <c r="D39" s="995"/>
      <c r="E39" s="995"/>
      <c r="F39" s="1644"/>
      <c r="G39" s="1644"/>
      <c r="H39" s="359"/>
      <c r="N39" s="1649"/>
      <c r="O39" s="1649"/>
      <c r="P39" s="1649"/>
      <c r="Q39" s="1649"/>
      <c r="R39" s="1374"/>
      <c r="T39" s="1374"/>
      <c r="U39" s="1644"/>
      <c r="V39" s="1644"/>
      <c r="W39" s="1374"/>
      <c r="X39" s="1374"/>
      <c r="Y39" s="1374"/>
      <c r="Z39" s="1374"/>
      <c r="AA39" s="1644"/>
      <c r="AB39" s="1374"/>
      <c r="AC39" s="1374"/>
      <c r="AD39" s="552"/>
      <c r="AE39" s="1374"/>
      <c r="AF39" s="1374"/>
      <c r="AG39" s="1374"/>
      <c r="AH39" s="1374"/>
      <c r="AI39" s="1374"/>
      <c r="AJ39" s="1640"/>
      <c r="AK39" s="630"/>
      <c r="AL39" s="630"/>
      <c r="AM39" s="630"/>
      <c r="AN39" s="630"/>
      <c r="AO39" s="1649">
        <v>11</v>
      </c>
    </row>
    <row s="1649" customFormat="1" customHeight="1" ht="11.549999999999999">
      <c r="A40" s="995"/>
      <c r="B40" s="995"/>
      <c r="C40" s="995"/>
      <c r="D40" s="995"/>
      <c r="E40" s="995"/>
      <c r="F40" s="1644"/>
      <c r="G40" s="1644"/>
      <c r="H40" s="359"/>
      <c r="N40" s="1649"/>
      <c r="O40" s="1649"/>
      <c r="P40" s="1649"/>
      <c r="Q40" s="1649"/>
      <c r="R40" s="1374"/>
      <c r="T40" s="1374"/>
      <c r="U40" s="1644"/>
      <c r="V40" s="1644"/>
      <c r="W40" s="1374"/>
      <c r="X40" s="1374"/>
      <c r="Y40" s="1374"/>
      <c r="Z40" s="1374"/>
      <c r="AA40" s="1644"/>
      <c r="AB40" s="1374"/>
      <c r="AC40" s="1374"/>
      <c r="AD40" s="552"/>
      <c r="AE40" s="1374"/>
      <c r="AF40" s="1374"/>
      <c r="AG40" s="1374"/>
      <c r="AH40" s="1374"/>
      <c r="AI40" s="1374"/>
      <c r="AJ40" s="1640"/>
      <c r="AK40" s="630"/>
      <c r="AL40" s="630"/>
      <c r="AM40" s="630"/>
      <c r="AN40" s="630"/>
      <c r="AO40" s="1649">
        <v>11</v>
      </c>
    </row>
    <row s="1649" customFormat="1" customHeight="1" ht="11.549999999999999">
      <c r="A41" s="995"/>
      <c r="B41" s="995"/>
      <c r="C41" s="995"/>
      <c r="D41" s="995"/>
      <c r="E41" s="995"/>
      <c r="F41" s="1644"/>
      <c r="G41" s="1644"/>
      <c r="H41" s="359"/>
      <c r="N41" s="1649"/>
      <c r="O41" s="1649"/>
      <c r="P41" s="1649"/>
      <c r="Q41" s="1649"/>
      <c r="R41" s="1374"/>
      <c r="T41" s="1374"/>
      <c r="U41" s="1644"/>
      <c r="V41" s="1644"/>
      <c r="W41" s="1374"/>
      <c r="X41" s="1374"/>
      <c r="Y41" s="1374"/>
      <c r="Z41" s="1374"/>
      <c r="AA41" s="1644"/>
      <c r="AB41" s="1374"/>
      <c r="AC41" s="1374"/>
      <c r="AD41" s="552"/>
      <c r="AE41" s="1374"/>
      <c r="AF41" s="1374"/>
      <c r="AG41" s="1374"/>
      <c r="AH41" s="1374"/>
      <c r="AI41" s="1374"/>
      <c r="AJ41" s="1640"/>
      <c r="AK41" s="630"/>
      <c r="AL41" s="630"/>
      <c r="AM41" s="630"/>
      <c r="AN41" s="630"/>
      <c r="AO41" s="1649">
        <v>11</v>
      </c>
    </row>
    <row s="1649" customFormat="1" customHeight="1" ht="11.549999999999999">
      <c r="A42" s="995"/>
      <c r="B42" s="995"/>
      <c r="C42" s="995"/>
      <c r="D42" s="995"/>
      <c r="E42" s="995"/>
      <c r="F42" s="1644"/>
      <c r="G42" s="1644"/>
      <c r="H42" s="359"/>
      <c r="N42" s="1649"/>
      <c r="O42" s="1649"/>
      <c r="P42" s="1649"/>
      <c r="Q42" s="1649"/>
      <c r="R42" s="1374"/>
      <c r="T42" s="1374"/>
      <c r="U42" s="1644"/>
      <c r="V42" s="1644"/>
      <c r="W42" s="1374"/>
      <c r="X42" s="1374"/>
      <c r="Y42" s="1374"/>
      <c r="Z42" s="1374"/>
      <c r="AA42" s="1644"/>
      <c r="AB42" s="1374"/>
      <c r="AC42" s="1374"/>
      <c r="AD42" s="552"/>
      <c r="AE42" s="1374"/>
      <c r="AF42" s="1374"/>
      <c r="AG42" s="1374"/>
      <c r="AH42" s="1374"/>
      <c r="AI42" s="1374"/>
      <c r="AJ42" s="1640"/>
      <c r="AK42" s="630"/>
      <c r="AL42" s="630"/>
      <c r="AM42" s="630"/>
      <c r="AN42" s="630"/>
      <c r="AO42" s="1649">
        <v>11</v>
      </c>
    </row>
    <row s="1649" customFormat="1" customHeight="1" ht="11.549999999999999">
      <c r="A43" s="995"/>
      <c r="B43" s="995"/>
      <c r="C43" s="995"/>
      <c r="D43" s="995"/>
      <c r="E43" s="995"/>
      <c r="F43" s="1644"/>
      <c r="G43" s="1644"/>
      <c r="H43" s="359"/>
      <c r="N43" s="1649"/>
      <c r="O43" s="1649"/>
      <c r="P43" s="1649"/>
      <c r="Q43" s="1649"/>
      <c r="R43" s="1374"/>
      <c r="T43" s="1374"/>
      <c r="U43" s="1644"/>
      <c r="V43" s="1644"/>
      <c r="W43" s="1374"/>
      <c r="X43" s="1374"/>
      <c r="Y43" s="1374"/>
      <c r="Z43" s="1374"/>
      <c r="AA43" s="1644"/>
      <c r="AB43" s="1374"/>
      <c r="AC43" s="1374"/>
      <c r="AD43" s="552"/>
      <c r="AE43" s="1374"/>
      <c r="AF43" s="1374"/>
      <c r="AG43" s="1374"/>
      <c r="AH43" s="1374"/>
      <c r="AI43" s="1374"/>
      <c r="AJ43" s="1640"/>
      <c r="AK43" s="630"/>
      <c r="AL43" s="630"/>
      <c r="AM43" s="630"/>
      <c r="AN43" s="630"/>
      <c r="AO43" s="1649">
        <v>11</v>
      </c>
    </row>
    <row s="1649" customFormat="1" customHeight="1" ht="11.549999999999999">
      <c r="A44" s="995"/>
      <c r="B44" s="995"/>
      <c r="C44" s="995"/>
      <c r="D44" s="995"/>
      <c r="E44" s="995"/>
      <c r="F44" s="1644"/>
      <c r="G44" s="1644"/>
      <c r="H44" s="359"/>
      <c r="N44" s="1649"/>
      <c r="O44" s="1649"/>
      <c r="P44" s="1649"/>
      <c r="Q44" s="1649"/>
      <c r="R44" s="1374"/>
      <c r="T44" s="1374"/>
      <c r="U44" s="1644"/>
      <c r="V44" s="1644"/>
      <c r="W44" s="1374"/>
      <c r="X44" s="1374"/>
      <c r="Y44" s="1374"/>
      <c r="Z44" s="1374"/>
      <c r="AA44" s="1644"/>
      <c r="AB44" s="1374"/>
      <c r="AC44" s="1374"/>
      <c r="AD44" s="552"/>
      <c r="AE44" s="1374"/>
      <c r="AF44" s="1374"/>
      <c r="AG44" s="1374"/>
      <c r="AH44" s="1374"/>
      <c r="AI44" s="1374"/>
      <c r="AJ44" s="1640"/>
      <c r="AK44" s="630"/>
      <c r="AL44" s="630"/>
      <c r="AM44" s="630"/>
      <c r="AN44" s="630"/>
      <c r="AO44" s="1649">
        <v>11</v>
      </c>
    </row>
    <row s="1649" customFormat="1" customHeight="1" ht="11.549999999999999">
      <c r="A45" s="995"/>
      <c r="B45" s="995"/>
      <c r="C45" s="995"/>
      <c r="D45" s="995"/>
      <c r="E45" s="995"/>
      <c r="F45" s="1644"/>
      <c r="G45" s="1644"/>
      <c r="H45" s="359"/>
      <c r="N45" s="1649"/>
      <c r="O45" s="1649"/>
      <c r="P45" s="1649"/>
      <c r="Q45" s="1649"/>
      <c r="R45" s="1374"/>
      <c r="T45" s="1374"/>
      <c r="U45" s="1644"/>
      <c r="V45" s="1644"/>
      <c r="W45" s="1374"/>
      <c r="X45" s="1374"/>
      <c r="Y45" s="1374"/>
      <c r="Z45" s="1374"/>
      <c r="AA45" s="1644"/>
      <c r="AB45" s="1374"/>
      <c r="AC45" s="1374"/>
      <c r="AD45" s="552"/>
      <c r="AE45" s="1374"/>
      <c r="AF45" s="1374"/>
      <c r="AG45" s="1374"/>
      <c r="AH45" s="1374"/>
      <c r="AI45" s="1374"/>
      <c r="AJ45" s="1640"/>
      <c r="AK45" s="630"/>
      <c r="AL45" s="630"/>
      <c r="AM45" s="630"/>
      <c r="AN45" s="630"/>
      <c r="AO45" s="1649">
        <v>11</v>
      </c>
    </row>
    <row s="1649" customFormat="1" customHeight="1" ht="11.549999999999999">
      <c r="A46" s="995"/>
      <c r="B46" s="995"/>
      <c r="C46" s="995"/>
      <c r="D46" s="995"/>
      <c r="E46" s="995"/>
      <c r="F46" s="1644"/>
      <c r="G46" s="1644"/>
      <c r="H46" s="359"/>
      <c r="N46" s="1649"/>
      <c r="O46" s="1649"/>
      <c r="P46" s="1649"/>
      <c r="Q46" s="1649"/>
      <c r="R46" s="1374"/>
      <c r="T46" s="1374"/>
      <c r="U46" s="1644"/>
      <c r="V46" s="1644"/>
      <c r="W46" s="1374"/>
      <c r="X46" s="1374"/>
      <c r="Y46" s="1374"/>
      <c r="Z46" s="1374"/>
      <c r="AA46" s="1644"/>
      <c r="AB46" s="1374"/>
      <c r="AC46" s="1374"/>
      <c r="AD46" s="552"/>
      <c r="AE46" s="1374"/>
      <c r="AF46" s="1374"/>
      <c r="AG46" s="1374"/>
      <c r="AH46" s="1374"/>
      <c r="AI46" s="1374"/>
      <c r="AJ46" s="1640"/>
      <c r="AK46" s="630"/>
      <c r="AL46" s="630"/>
      <c r="AM46" s="630"/>
      <c r="AN46" s="630"/>
      <c r="AO46" s="1649">
        <v>11</v>
      </c>
    </row>
    <row s="1649" customFormat="1" customHeight="1" ht="11.549999999999999">
      <c r="A47" s="995"/>
      <c r="B47" s="995"/>
      <c r="C47" s="995"/>
      <c r="D47" s="995"/>
      <c r="E47" s="995"/>
      <c r="F47" s="1644"/>
      <c r="G47" s="1644"/>
      <c r="H47" s="359"/>
      <c r="N47" s="1649"/>
      <c r="O47" s="1649"/>
      <c r="P47" s="1649"/>
      <c r="Q47" s="1649"/>
      <c r="R47" s="1374"/>
      <c r="T47" s="1374"/>
      <c r="U47" s="1644"/>
      <c r="V47" s="1644"/>
      <c r="W47" s="1374"/>
      <c r="X47" s="1374"/>
      <c r="Y47" s="1374"/>
      <c r="Z47" s="1374"/>
      <c r="AA47" s="1644"/>
      <c r="AB47" s="1374"/>
      <c r="AC47" s="1374"/>
      <c r="AD47" s="552"/>
      <c r="AE47" s="1374"/>
      <c r="AF47" s="1374"/>
      <c r="AG47" s="1374"/>
      <c r="AH47" s="1374"/>
      <c r="AI47" s="1374"/>
      <c r="AJ47" s="1640"/>
      <c r="AK47" s="630"/>
      <c r="AL47" s="630"/>
      <c r="AM47" s="630"/>
      <c r="AN47" s="630"/>
      <c r="AO47" s="1649">
        <v>11</v>
      </c>
    </row>
    <row s="1649" customFormat="1" customHeight="1" ht="11.549999999999999">
      <c r="A48" s="995"/>
      <c r="B48" s="995"/>
      <c r="C48" s="995"/>
      <c r="D48" s="995"/>
      <c r="E48" s="995"/>
      <c r="F48" s="1644"/>
      <c r="G48" s="1644"/>
      <c r="H48" s="359"/>
      <c r="N48" s="1649"/>
      <c r="O48" s="1649"/>
      <c r="P48" s="1649"/>
      <c r="Q48" s="1649"/>
      <c r="R48" s="1374"/>
      <c r="T48" s="1374"/>
      <c r="U48" s="1644"/>
      <c r="V48" s="1644"/>
      <c r="W48" s="1374"/>
      <c r="X48" s="1374"/>
      <c r="Y48" s="1374"/>
      <c r="Z48" s="1374"/>
      <c r="AA48" s="1644"/>
      <c r="AB48" s="1374"/>
      <c r="AC48" s="1374"/>
      <c r="AD48" s="552"/>
      <c r="AE48" s="1374"/>
      <c r="AF48" s="1374"/>
      <c r="AG48" s="1374"/>
      <c r="AH48" s="1374"/>
      <c r="AI48" s="1374"/>
      <c r="AJ48" s="1640"/>
      <c r="AK48" s="630"/>
      <c r="AL48" s="630"/>
      <c r="AM48" s="630"/>
      <c r="AN48" s="630"/>
      <c r="AO48" s="1649">
        <v>11</v>
      </c>
    </row>
    <row s="1649" customFormat="1" customHeight="1" ht="11.549999999999999">
      <c r="A49" s="995"/>
      <c r="B49" s="995"/>
      <c r="C49" s="995"/>
      <c r="D49" s="995"/>
      <c r="E49" s="995"/>
      <c r="F49" s="1644"/>
      <c r="G49" s="1644"/>
      <c r="H49" s="359"/>
      <c r="N49" s="1649"/>
      <c r="O49" s="1649"/>
      <c r="P49" s="1649"/>
      <c r="Q49" s="1649"/>
      <c r="R49" s="1374"/>
      <c r="T49" s="1374"/>
      <c r="U49" s="1644"/>
      <c r="V49" s="1644"/>
      <c r="W49" s="1374"/>
      <c r="X49" s="1374"/>
      <c r="Y49" s="1374"/>
      <c r="Z49" s="1374"/>
      <c r="AA49" s="1644"/>
      <c r="AB49" s="1374"/>
      <c r="AC49" s="1374"/>
      <c r="AD49" s="552"/>
      <c r="AE49" s="1374"/>
      <c r="AF49" s="1374"/>
      <c r="AG49" s="1374"/>
      <c r="AH49" s="1374"/>
      <c r="AI49" s="1374"/>
      <c r="AJ49" s="1640"/>
      <c r="AK49" s="630"/>
      <c r="AL49" s="630"/>
      <c r="AM49" s="630"/>
      <c r="AN49" s="630"/>
      <c r="AO49" s="1649">
        <v>11</v>
      </c>
    </row>
    <row s="1649" customFormat="1" customHeight="1" ht="11.549999999999999">
      <c r="A50" s="995"/>
      <c r="B50" s="995"/>
      <c r="C50" s="995"/>
      <c r="D50" s="995"/>
      <c r="E50" s="995"/>
      <c r="F50" s="1644"/>
      <c r="G50" s="1644"/>
      <c r="H50" s="359"/>
      <c r="N50" s="1649"/>
      <c r="O50" s="1649"/>
      <c r="P50" s="1649"/>
      <c r="Q50" s="1649"/>
      <c r="R50" s="1374"/>
      <c r="T50" s="1374"/>
      <c r="U50" s="1644"/>
      <c r="V50" s="1644"/>
      <c r="W50" s="1374"/>
      <c r="X50" s="1374"/>
      <c r="Y50" s="1374"/>
      <c r="Z50" s="1374"/>
      <c r="AA50" s="1644"/>
      <c r="AB50" s="1374"/>
      <c r="AC50" s="1374"/>
      <c r="AD50" s="552"/>
      <c r="AE50" s="1374"/>
      <c r="AF50" s="1374"/>
      <c r="AG50" s="1374"/>
      <c r="AH50" s="1374"/>
      <c r="AI50" s="1374"/>
      <c r="AJ50" s="1640"/>
      <c r="AK50" s="630"/>
      <c r="AL50" s="630"/>
      <c r="AM50" s="630"/>
      <c r="AN50" s="630"/>
      <c r="AO50" s="1649">
        <v>11</v>
      </c>
    </row>
    <row s="1649" customFormat="1" customHeight="1" ht="11.549999999999999">
      <c r="A51" s="995"/>
      <c r="B51" s="995"/>
      <c r="C51" s="995"/>
      <c r="D51" s="995"/>
      <c r="E51" s="995"/>
      <c r="F51" s="1644"/>
      <c r="G51" s="1644"/>
      <c r="H51" s="359"/>
      <c r="N51" s="1649"/>
      <c r="O51" s="1649"/>
      <c r="P51" s="1649"/>
      <c r="Q51" s="1649"/>
      <c r="R51" s="1374"/>
      <c r="T51" s="1374"/>
      <c r="U51" s="1644"/>
      <c r="V51" s="1644"/>
      <c r="W51" s="1374"/>
      <c r="X51" s="1374"/>
      <c r="Y51" s="1374"/>
      <c r="Z51" s="1374"/>
      <c r="AA51" s="1644"/>
      <c r="AB51" s="1374"/>
      <c r="AC51" s="1374"/>
      <c r="AD51" s="552"/>
      <c r="AE51" s="1374"/>
      <c r="AF51" s="1374"/>
      <c r="AG51" s="1374"/>
      <c r="AH51" s="1374"/>
      <c r="AI51" s="1374"/>
      <c r="AJ51" s="1640"/>
      <c r="AK51" s="630"/>
      <c r="AL51" s="630"/>
      <c r="AM51" s="630"/>
      <c r="AN51" s="630"/>
      <c r="AO51" s="1649">
        <v>11</v>
      </c>
    </row>
    <row s="1649" customFormat="1" customHeight="1" ht="11.549999999999999">
      <c r="A52" s="995"/>
      <c r="B52" s="995"/>
      <c r="C52" s="995"/>
      <c r="D52" s="995"/>
      <c r="E52" s="995"/>
      <c r="F52" s="1644"/>
      <c r="G52" s="1644"/>
      <c r="H52" s="359"/>
      <c r="N52" s="1649"/>
      <c r="O52" s="1649"/>
      <c r="P52" s="1649"/>
      <c r="Q52" s="1649"/>
      <c r="R52" s="1374"/>
      <c r="T52" s="1374"/>
      <c r="U52" s="1644"/>
      <c r="V52" s="1644"/>
      <c r="W52" s="1374"/>
      <c r="X52" s="1374"/>
      <c r="Y52" s="1374"/>
      <c r="Z52" s="1374"/>
      <c r="AA52" s="1644"/>
      <c r="AB52" s="1374"/>
      <c r="AC52" s="1374"/>
      <c r="AD52" s="552"/>
      <c r="AE52" s="1374"/>
      <c r="AF52" s="1374"/>
      <c r="AG52" s="1374"/>
      <c r="AH52" s="1374"/>
      <c r="AI52" s="1374"/>
      <c r="AJ52" s="1640"/>
      <c r="AK52" s="630"/>
      <c r="AL52" s="630"/>
      <c r="AM52" s="630"/>
      <c r="AN52" s="630"/>
      <c r="AO52" s="1649">
        <v>11</v>
      </c>
    </row>
    <row s="1649" customFormat="1" customHeight="1" ht="11.549999999999999">
      <c r="A53" s="995"/>
      <c r="B53" s="995"/>
      <c r="C53" s="995"/>
      <c r="D53" s="995"/>
      <c r="E53" s="995"/>
      <c r="F53" s="1644"/>
      <c r="G53" s="1644"/>
      <c r="H53" s="359"/>
      <c r="N53" s="1649"/>
      <c r="O53" s="1649"/>
      <c r="P53" s="1649"/>
      <c r="Q53" s="1649"/>
      <c r="R53" s="1374"/>
      <c r="T53" s="1374"/>
      <c r="U53" s="1644"/>
      <c r="V53" s="1644"/>
      <c r="W53" s="1374"/>
      <c r="X53" s="1374"/>
      <c r="Y53" s="1374"/>
      <c r="Z53" s="1374"/>
      <c r="AA53" s="1644"/>
      <c r="AB53" s="1374"/>
      <c r="AC53" s="1374"/>
      <c r="AD53" s="552"/>
      <c r="AE53" s="1374"/>
      <c r="AF53" s="1374"/>
      <c r="AG53" s="1374"/>
      <c r="AH53" s="1374"/>
      <c r="AI53" s="1374"/>
      <c r="AJ53" s="1640"/>
      <c r="AK53" s="630"/>
      <c r="AL53" s="630"/>
      <c r="AM53" s="630"/>
      <c r="AN53" s="630"/>
      <c r="AO53" s="1649">
        <v>11</v>
      </c>
    </row>
    <row s="1649" customFormat="1" customHeight="1" ht="11.549999999999999">
      <c r="A54" s="995"/>
      <c r="B54" s="995"/>
      <c r="C54" s="995"/>
      <c r="D54" s="995"/>
      <c r="E54" s="995"/>
      <c r="F54" s="1644"/>
      <c r="G54" s="1644"/>
      <c r="H54" s="359"/>
      <c r="N54" s="1649"/>
      <c r="O54" s="1649"/>
      <c r="P54" s="1649"/>
      <c r="Q54" s="1649"/>
      <c r="R54" s="1374"/>
      <c r="T54" s="1374"/>
      <c r="U54" s="1644"/>
      <c r="V54" s="1644"/>
      <c r="W54" s="1374"/>
      <c r="X54" s="1374"/>
      <c r="Y54" s="1374"/>
      <c r="Z54" s="1374"/>
      <c r="AA54" s="1644"/>
      <c r="AB54" s="1374"/>
      <c r="AC54" s="1374"/>
      <c r="AD54" s="552"/>
      <c r="AE54" s="1374"/>
      <c r="AF54" s="1374"/>
      <c r="AG54" s="1374"/>
      <c r="AH54" s="1374"/>
      <c r="AI54" s="1374"/>
      <c r="AJ54" s="1640"/>
      <c r="AK54" s="630"/>
      <c r="AL54" s="630"/>
      <c r="AM54" s="630"/>
      <c r="AN54" s="630"/>
      <c r="AO54" s="1649">
        <v>11</v>
      </c>
    </row>
    <row s="1649" customFormat="1" customHeight="1" ht="11.549999999999999">
      <c r="A55" s="995"/>
      <c r="B55" s="995"/>
      <c r="C55" s="995"/>
      <c r="D55" s="995"/>
      <c r="E55" s="995"/>
      <c r="F55" s="1644"/>
      <c r="G55" s="1644"/>
      <c r="H55" s="359"/>
      <c r="N55" s="1649"/>
      <c r="O55" s="1649"/>
      <c r="P55" s="1649"/>
      <c r="Q55" s="1649"/>
      <c r="R55" s="1374"/>
      <c r="T55" s="1374"/>
      <c r="U55" s="1644"/>
      <c r="V55" s="1644"/>
      <c r="W55" s="1374"/>
      <c r="X55" s="1374"/>
      <c r="Y55" s="1374"/>
      <c r="Z55" s="1374"/>
      <c r="AA55" s="1644"/>
      <c r="AB55" s="1374"/>
      <c r="AC55" s="1374"/>
      <c r="AD55" s="552"/>
      <c r="AE55" s="1374"/>
      <c r="AF55" s="1374"/>
      <c r="AG55" s="1374"/>
      <c r="AH55" s="1374"/>
      <c r="AI55" s="1374"/>
      <c r="AJ55" s="1640"/>
      <c r="AK55" s="630"/>
      <c r="AL55" s="630"/>
      <c r="AM55" s="630"/>
      <c r="AN55" s="630"/>
      <c r="AO55" s="1649">
        <v>11</v>
      </c>
    </row>
    <row s="1649" customFormat="1" customHeight="1" ht="11.549999999999999">
      <c r="A56" s="995"/>
      <c r="B56" s="995"/>
      <c r="C56" s="995"/>
      <c r="D56" s="995"/>
      <c r="E56" s="995"/>
      <c r="F56" s="1644"/>
      <c r="G56" s="1644"/>
      <c r="H56" s="359"/>
      <c r="N56" s="1649"/>
      <c r="O56" s="1649"/>
      <c r="P56" s="1649"/>
      <c r="Q56" s="1649"/>
      <c r="R56" s="1374"/>
      <c r="T56" s="1374"/>
      <c r="U56" s="1644"/>
      <c r="V56" s="1644"/>
      <c r="W56" s="1374"/>
      <c r="X56" s="1374"/>
      <c r="Y56" s="1374"/>
      <c r="Z56" s="1374"/>
      <c r="AA56" s="1644"/>
      <c r="AB56" s="1374"/>
      <c r="AC56" s="1374"/>
      <c r="AD56" s="552"/>
      <c r="AE56" s="1374"/>
      <c r="AF56" s="1374"/>
      <c r="AG56" s="1374"/>
      <c r="AH56" s="1374"/>
      <c r="AI56" s="1374"/>
      <c r="AJ56" s="1640"/>
      <c r="AK56" s="630"/>
      <c r="AL56" s="630"/>
      <c r="AM56" s="630"/>
      <c r="AN56" s="630"/>
      <c r="AO56" s="1649">
        <v>11</v>
      </c>
    </row>
    <row s="1649" customFormat="1" customHeight="1" ht="11.549999999999999">
      <c r="A57" s="995"/>
      <c r="B57" s="995"/>
      <c r="C57" s="995"/>
      <c r="D57" s="995"/>
      <c r="E57" s="995"/>
      <c r="F57" s="1644"/>
      <c r="G57" s="1644"/>
      <c r="H57" s="359"/>
      <c r="N57" s="1649"/>
      <c r="O57" s="1649"/>
      <c r="P57" s="1649"/>
      <c r="Q57" s="1649"/>
      <c r="R57" s="1374"/>
      <c r="T57" s="1374"/>
      <c r="U57" s="1644"/>
      <c r="V57" s="1644"/>
      <c r="W57" s="1374"/>
      <c r="X57" s="1374"/>
      <c r="Y57" s="1374"/>
      <c r="Z57" s="1374"/>
      <c r="AA57" s="1644"/>
      <c r="AB57" s="1374"/>
      <c r="AC57" s="1374"/>
      <c r="AD57" s="552"/>
      <c r="AE57" s="1374"/>
      <c r="AF57" s="1374"/>
      <c r="AG57" s="1374"/>
      <c r="AH57" s="1374"/>
      <c r="AI57" s="1374"/>
      <c r="AJ57" s="1640"/>
      <c r="AK57" s="630"/>
      <c r="AL57" s="630"/>
      <c r="AM57" s="630"/>
      <c r="AN57" s="630"/>
      <c r="AO57" s="1649">
        <v>11</v>
      </c>
    </row>
    <row s="1649" customFormat="1" customHeight="1" ht="11.549999999999999">
      <c r="A58" s="995"/>
      <c r="B58" s="995"/>
      <c r="C58" s="995"/>
      <c r="D58" s="995"/>
      <c r="E58" s="995"/>
      <c r="F58" s="1644"/>
      <c r="G58" s="1644"/>
      <c r="H58" s="359"/>
      <c r="N58" s="1649"/>
      <c r="O58" s="1649"/>
      <c r="P58" s="1649"/>
      <c r="Q58" s="1649"/>
      <c r="R58" s="1374"/>
      <c r="T58" s="1374"/>
      <c r="U58" s="1644"/>
      <c r="V58" s="1644"/>
      <c r="W58" s="1374"/>
      <c r="X58" s="1374"/>
      <c r="Y58" s="1374"/>
      <c r="Z58" s="1374"/>
      <c r="AA58" s="1644"/>
      <c r="AB58" s="1374"/>
      <c r="AC58" s="1374"/>
      <c r="AD58" s="552"/>
      <c r="AE58" s="1374"/>
      <c r="AF58" s="1374"/>
      <c r="AG58" s="1374"/>
      <c r="AH58" s="1374"/>
      <c r="AI58" s="1374"/>
      <c r="AJ58" s="1640"/>
      <c r="AK58" s="630"/>
      <c r="AL58" s="630"/>
      <c r="AM58" s="630"/>
      <c r="AN58" s="630"/>
      <c r="AO58" s="1649">
        <v>11</v>
      </c>
    </row>
    <row s="1649" customFormat="1" customHeight="1" ht="11.549999999999999">
      <c r="A59" s="995"/>
      <c r="B59" s="995"/>
      <c r="C59" s="995"/>
      <c r="D59" s="995"/>
      <c r="E59" s="995"/>
      <c r="F59" s="1644"/>
      <c r="G59" s="1644"/>
      <c r="H59" s="359"/>
      <c r="N59" s="1649"/>
      <c r="O59" s="1649"/>
      <c r="P59" s="1649"/>
      <c r="Q59" s="1649"/>
      <c r="R59" s="1374"/>
      <c r="T59" s="1374"/>
      <c r="U59" s="1644"/>
      <c r="V59" s="1644"/>
      <c r="W59" s="1374"/>
      <c r="X59" s="1374"/>
      <c r="Y59" s="1374"/>
      <c r="Z59" s="1374"/>
      <c r="AA59" s="1644"/>
      <c r="AB59" s="1374"/>
      <c r="AC59" s="1374"/>
      <c r="AD59" s="552"/>
      <c r="AE59" s="1374"/>
      <c r="AF59" s="1374"/>
      <c r="AG59" s="1374"/>
      <c r="AH59" s="1374"/>
      <c r="AI59" s="1374"/>
      <c r="AJ59" s="1640"/>
      <c r="AK59" s="630"/>
      <c r="AL59" s="630"/>
      <c r="AM59" s="630"/>
      <c r="AN59" s="630"/>
      <c r="AO59" s="1649">
        <v>11</v>
      </c>
    </row>
    <row s="1649" customFormat="1" customHeight="1" ht="11.549999999999999">
      <c r="A60" s="995"/>
      <c r="B60" s="995"/>
      <c r="C60" s="995"/>
      <c r="D60" s="995"/>
      <c r="E60" s="995"/>
      <c r="F60" s="1644"/>
      <c r="G60" s="1644"/>
      <c r="H60" s="359"/>
      <c r="N60" s="1649"/>
      <c r="O60" s="1649"/>
      <c r="P60" s="1649"/>
      <c r="Q60" s="1649"/>
      <c r="R60" s="1374"/>
      <c r="T60" s="1374"/>
      <c r="U60" s="1644"/>
      <c r="V60" s="1644"/>
      <c r="W60" s="1374"/>
      <c r="X60" s="1374"/>
      <c r="Y60" s="1374"/>
      <c r="Z60" s="1374"/>
      <c r="AA60" s="1644"/>
      <c r="AB60" s="1374"/>
      <c r="AC60" s="1374"/>
      <c r="AD60" s="552"/>
      <c r="AE60" s="1374"/>
      <c r="AF60" s="1374"/>
      <c r="AG60" s="1374"/>
      <c r="AH60" s="1374"/>
      <c r="AI60" s="1374"/>
      <c r="AJ60" s="1640"/>
      <c r="AK60" s="630"/>
      <c r="AL60" s="630"/>
      <c r="AM60" s="630"/>
      <c r="AN60" s="630"/>
      <c r="AO60" s="1649">
        <v>11</v>
      </c>
    </row>
    <row s="1649" customFormat="1" customHeight="1" ht="11.549999999999999">
      <c r="A61" s="995"/>
      <c r="B61" s="995"/>
      <c r="C61" s="995"/>
      <c r="D61" s="995"/>
      <c r="E61" s="995"/>
      <c r="F61" s="1644"/>
      <c r="G61" s="1644"/>
      <c r="H61" s="359"/>
      <c r="N61" s="1649"/>
      <c r="O61" s="1649"/>
      <c r="P61" s="1649"/>
      <c r="Q61" s="1649"/>
      <c r="R61" s="1374"/>
      <c r="T61" s="1374"/>
      <c r="U61" s="1644"/>
      <c r="V61" s="1644"/>
      <c r="W61" s="1374"/>
      <c r="X61" s="1374"/>
      <c r="Y61" s="1374"/>
      <c r="Z61" s="1374"/>
      <c r="AA61" s="1644"/>
      <c r="AB61" s="1374"/>
      <c r="AC61" s="1374"/>
      <c r="AD61" s="552"/>
      <c r="AE61" s="1374"/>
      <c r="AF61" s="1374"/>
      <c r="AG61" s="1374"/>
      <c r="AH61" s="1374"/>
      <c r="AI61" s="1374"/>
      <c r="AJ61" s="1640"/>
      <c r="AK61" s="630"/>
      <c r="AL61" s="630"/>
      <c r="AM61" s="630"/>
      <c r="AN61" s="630"/>
      <c r="AO61" s="1649">
        <v>11</v>
      </c>
    </row>
    <row s="1649" customFormat="1" customHeight="1" ht="11.549999999999999">
      <c r="A62" s="995"/>
      <c r="B62" s="995"/>
      <c r="C62" s="995"/>
      <c r="D62" s="995"/>
      <c r="E62" s="995"/>
      <c r="F62" s="1644"/>
      <c r="G62" s="1644"/>
      <c r="H62" s="359"/>
      <c r="N62" s="1649"/>
      <c r="O62" s="1649"/>
      <c r="P62" s="1649"/>
      <c r="Q62" s="1649"/>
      <c r="R62" s="1374"/>
      <c r="T62" s="1374"/>
      <c r="U62" s="1644"/>
      <c r="V62" s="1644"/>
      <c r="W62" s="1374"/>
      <c r="X62" s="1374"/>
      <c r="Y62" s="1374"/>
      <c r="Z62" s="1374"/>
      <c r="AA62" s="1644"/>
      <c r="AB62" s="1374"/>
      <c r="AC62" s="1374"/>
      <c r="AD62" s="552"/>
      <c r="AE62" s="1374"/>
      <c r="AF62" s="1374"/>
      <c r="AG62" s="1374"/>
      <c r="AH62" s="1374"/>
      <c r="AI62" s="1374"/>
      <c r="AJ62" s="1640"/>
      <c r="AK62" s="630"/>
      <c r="AL62" s="630"/>
      <c r="AM62" s="630"/>
      <c r="AN62" s="630"/>
      <c r="AO62" s="1649">
        <v>11</v>
      </c>
    </row>
    <row s="1649" customFormat="1" customHeight="1" ht="11.549999999999999">
      <c r="A63" s="995"/>
      <c r="B63" s="995"/>
      <c r="C63" s="995"/>
      <c r="D63" s="995"/>
      <c r="E63" s="995"/>
      <c r="F63" s="1644"/>
      <c r="G63" s="1644"/>
      <c r="H63" s="359"/>
      <c r="N63" s="1649"/>
      <c r="O63" s="1649"/>
      <c r="P63" s="1649"/>
      <c r="Q63" s="1649"/>
      <c r="R63" s="1374"/>
      <c r="T63" s="1374"/>
      <c r="U63" s="1644"/>
      <c r="V63" s="1644"/>
      <c r="W63" s="1374"/>
      <c r="X63" s="1374"/>
      <c r="Y63" s="1374"/>
      <c r="Z63" s="1374"/>
      <c r="AA63" s="1644"/>
      <c r="AB63" s="1374"/>
      <c r="AC63" s="1374"/>
      <c r="AD63" s="552"/>
      <c r="AE63" s="1374"/>
      <c r="AF63" s="1374"/>
      <c r="AG63" s="1374"/>
      <c r="AH63" s="1374"/>
      <c r="AI63" s="1374"/>
      <c r="AJ63" s="1640"/>
      <c r="AK63" s="630"/>
      <c r="AL63" s="630"/>
      <c r="AM63" s="630"/>
      <c r="AN63" s="630"/>
      <c r="AO63" s="1649">
        <v>11</v>
      </c>
    </row>
    <row s="1649" customFormat="1" customHeight="1" ht="11.549999999999999">
      <c r="A64" s="995"/>
      <c r="B64" s="995"/>
      <c r="C64" s="995"/>
      <c r="D64" s="995"/>
      <c r="E64" s="995"/>
      <c r="F64" s="1644"/>
      <c r="G64" s="1644"/>
      <c r="H64" s="359"/>
      <c r="N64" s="1649"/>
      <c r="O64" s="1649"/>
      <c r="P64" s="1649"/>
      <c r="Q64" s="1649"/>
      <c r="R64" s="1374"/>
      <c r="T64" s="1374"/>
      <c r="U64" s="1644"/>
      <c r="V64" s="1644"/>
      <c r="W64" s="1374"/>
      <c r="X64" s="1374"/>
      <c r="Y64" s="1374"/>
      <c r="Z64" s="1374"/>
      <c r="AA64" s="1644"/>
      <c r="AB64" s="1374"/>
      <c r="AC64" s="1374"/>
      <c r="AD64" s="552"/>
      <c r="AE64" s="1374"/>
      <c r="AF64" s="1374"/>
      <c r="AG64" s="1374"/>
      <c r="AH64" s="1374"/>
      <c r="AI64" s="1374"/>
      <c r="AJ64" s="1640"/>
      <c r="AK64" s="630"/>
      <c r="AL64" s="630"/>
      <c r="AM64" s="630"/>
      <c r="AN64" s="630"/>
      <c r="AO64" s="1649">
        <v>11</v>
      </c>
    </row>
    <row s="1649" customFormat="1" customHeight="1" ht="11.549999999999999">
      <c r="A65" s="995"/>
      <c r="B65" s="995"/>
      <c r="C65" s="995"/>
      <c r="D65" s="995"/>
      <c r="E65" s="995"/>
      <c r="F65" s="1644"/>
      <c r="G65" s="1644"/>
      <c r="H65" s="359"/>
      <c r="N65" s="1649"/>
      <c r="O65" s="1649"/>
      <c r="P65" s="1649"/>
      <c r="Q65" s="1649"/>
      <c r="R65" s="1374"/>
      <c r="T65" s="1374"/>
      <c r="U65" s="1644"/>
      <c r="V65" s="1644"/>
      <c r="W65" s="1374"/>
      <c r="X65" s="1374"/>
      <c r="Y65" s="1374"/>
      <c r="Z65" s="1374"/>
      <c r="AA65" s="1644"/>
      <c r="AB65" s="1374"/>
      <c r="AC65" s="1374"/>
      <c r="AD65" s="552"/>
      <c r="AE65" s="1374"/>
      <c r="AF65" s="1374"/>
      <c r="AG65" s="1374"/>
      <c r="AH65" s="1374"/>
      <c r="AI65" s="1374"/>
      <c r="AJ65" s="1640"/>
      <c r="AK65" s="630"/>
      <c r="AL65" s="630"/>
      <c r="AM65" s="630"/>
      <c r="AN65" s="630"/>
      <c r="AO65" s="1649">
        <v>11</v>
      </c>
    </row>
    <row s="1649" customFormat="1" customHeight="1" ht="11.549999999999999">
      <c r="A66" s="995"/>
      <c r="B66" s="995"/>
      <c r="C66" s="995"/>
      <c r="D66" s="995"/>
      <c r="E66" s="995"/>
      <c r="F66" s="1644"/>
      <c r="G66" s="1644"/>
      <c r="H66" s="359"/>
      <c r="N66" s="1649"/>
      <c r="O66" s="1649"/>
      <c r="P66" s="1649"/>
      <c r="Q66" s="1649"/>
      <c r="R66" s="1374"/>
      <c r="T66" s="1374"/>
      <c r="U66" s="1644"/>
      <c r="V66" s="1644"/>
      <c r="W66" s="1374"/>
      <c r="X66" s="1374"/>
      <c r="Y66" s="1374"/>
      <c r="Z66" s="1374"/>
      <c r="AA66" s="1644"/>
      <c r="AB66" s="1374"/>
      <c r="AC66" s="1374"/>
      <c r="AD66" s="552"/>
      <c r="AE66" s="1374"/>
      <c r="AF66" s="1374"/>
      <c r="AG66" s="1374"/>
      <c r="AH66" s="1374"/>
      <c r="AI66" s="1374"/>
      <c r="AJ66" s="1640"/>
      <c r="AK66" s="630"/>
      <c r="AL66" s="630"/>
      <c r="AM66" s="630"/>
      <c r="AN66" s="630"/>
      <c r="AO66" s="1649">
        <v>11</v>
      </c>
    </row>
    <row s="1649" customFormat="1" customHeight="1" ht="11.549999999999999">
      <c r="A67" s="995"/>
      <c r="B67" s="995"/>
      <c r="C67" s="995"/>
      <c r="D67" s="995"/>
      <c r="E67" s="995"/>
      <c r="F67" s="1644"/>
      <c r="G67" s="1644"/>
      <c r="H67" s="359"/>
      <c r="N67" s="1649"/>
      <c r="O67" s="1649"/>
      <c r="P67" s="1649"/>
      <c r="Q67" s="1649"/>
      <c r="R67" s="1374"/>
      <c r="T67" s="1374"/>
      <c r="U67" s="1644"/>
      <c r="V67" s="1644"/>
      <c r="W67" s="1374"/>
      <c r="X67" s="1374"/>
      <c r="Y67" s="1374"/>
      <c r="Z67" s="1374"/>
      <c r="AA67" s="1644"/>
      <c r="AB67" s="1374"/>
      <c r="AC67" s="1374"/>
      <c r="AD67" s="552"/>
      <c r="AE67" s="1374"/>
      <c r="AF67" s="1374"/>
      <c r="AG67" s="1374"/>
      <c r="AH67" s="1374"/>
      <c r="AI67" s="1374"/>
      <c r="AJ67" s="1640"/>
      <c r="AK67" s="630"/>
      <c r="AL67" s="630"/>
      <c r="AM67" s="630"/>
      <c r="AN67" s="630"/>
      <c r="AO67" s="1649">
        <v>11</v>
      </c>
    </row>
    <row s="1649" customFormat="1" customHeight="1" ht="11.549999999999999">
      <c r="A68" s="995"/>
      <c r="B68" s="995"/>
      <c r="C68" s="995"/>
      <c r="D68" s="995"/>
      <c r="E68" s="995"/>
      <c r="F68" s="1644"/>
      <c r="G68" s="1644"/>
      <c r="H68" s="359"/>
      <c r="N68" s="1649"/>
      <c r="O68" s="1649"/>
      <c r="P68" s="1649"/>
      <c r="Q68" s="1649"/>
      <c r="R68" s="1374"/>
      <c r="T68" s="1374"/>
      <c r="U68" s="1644"/>
      <c r="V68" s="1644"/>
      <c r="W68" s="1374"/>
      <c r="X68" s="1374"/>
      <c r="Y68" s="1374"/>
      <c r="Z68" s="1374"/>
      <c r="AA68" s="1644"/>
      <c r="AB68" s="1374"/>
      <c r="AC68" s="1374"/>
      <c r="AD68" s="552"/>
      <c r="AE68" s="1374"/>
      <c r="AF68" s="1374"/>
      <c r="AG68" s="1374"/>
      <c r="AH68" s="1374"/>
      <c r="AI68" s="1374"/>
      <c r="AJ68" s="1640"/>
      <c r="AK68" s="630"/>
      <c r="AL68" s="630"/>
      <c r="AM68" s="630"/>
      <c r="AN68" s="630"/>
      <c r="AO68" s="1649">
        <v>11</v>
      </c>
    </row>
    <row s="1649" customFormat="1" customHeight="1" ht="11.549999999999999">
      <c r="A69" s="995"/>
      <c r="B69" s="995"/>
      <c r="C69" s="995"/>
      <c r="D69" s="995"/>
      <c r="E69" s="995"/>
      <c r="F69" s="1644"/>
      <c r="G69" s="1644"/>
      <c r="H69" s="359"/>
      <c r="N69" s="1649"/>
      <c r="O69" s="1649"/>
      <c r="P69" s="1649"/>
      <c r="Q69" s="1649"/>
      <c r="R69" s="1374"/>
      <c r="T69" s="1374"/>
      <c r="U69" s="1644"/>
      <c r="V69" s="1644"/>
      <c r="W69" s="1374"/>
      <c r="X69" s="1374"/>
      <c r="Y69" s="1374"/>
      <c r="Z69" s="1374"/>
      <c r="AA69" s="1644"/>
      <c r="AB69" s="1374"/>
      <c r="AC69" s="1374"/>
      <c r="AD69" s="552"/>
      <c r="AE69" s="1374"/>
      <c r="AF69" s="1374"/>
      <c r="AG69" s="1374"/>
      <c r="AH69" s="1374"/>
      <c r="AI69" s="1374"/>
      <c r="AJ69" s="1640"/>
      <c r="AK69" s="630"/>
      <c r="AL69" s="630"/>
      <c r="AM69" s="630"/>
      <c r="AN69" s="630"/>
      <c r="AO69" s="1649">
        <v>11</v>
      </c>
    </row>
    <row s="1649" customFormat="1" customHeight="1" ht="11.549999999999999">
      <c r="A70" s="995"/>
      <c r="B70" s="995"/>
      <c r="C70" s="995"/>
      <c r="D70" s="995"/>
      <c r="E70" s="995"/>
      <c r="F70" s="1644"/>
      <c r="G70" s="1644"/>
      <c r="H70" s="359"/>
      <c r="N70" s="1649"/>
      <c r="O70" s="1649"/>
      <c r="P70" s="1649"/>
      <c r="Q70" s="1649"/>
      <c r="R70" s="1374"/>
      <c r="T70" s="1374"/>
      <c r="U70" s="1644"/>
      <c r="V70" s="1644"/>
      <c r="W70" s="1374"/>
      <c r="X70" s="1374"/>
      <c r="Y70" s="1374"/>
      <c r="Z70" s="1374"/>
      <c r="AA70" s="1644"/>
      <c r="AB70" s="1374"/>
      <c r="AC70" s="1374"/>
      <c r="AD70" s="552"/>
      <c r="AE70" s="1374"/>
      <c r="AF70" s="1374"/>
      <c r="AG70" s="1374"/>
      <c r="AH70" s="1374"/>
      <c r="AI70" s="1374"/>
      <c r="AJ70" s="1640"/>
      <c r="AK70" s="630"/>
      <c r="AL70" s="630"/>
      <c r="AM70" s="630"/>
      <c r="AN70" s="630"/>
      <c r="AO70" s="1649">
        <v>11</v>
      </c>
    </row>
    <row s="1649" customFormat="1" customHeight="1" ht="11.549999999999999">
      <c r="A71" s="995"/>
      <c r="B71" s="995"/>
      <c r="C71" s="995"/>
      <c r="D71" s="995"/>
      <c r="E71" s="995"/>
      <c r="F71" s="1644"/>
      <c r="G71" s="1644"/>
      <c r="H71" s="359"/>
      <c r="N71" s="1649"/>
      <c r="O71" s="1649"/>
      <c r="P71" s="1649"/>
      <c r="Q71" s="1649"/>
      <c r="R71" s="1374"/>
      <c r="T71" s="1374"/>
      <c r="U71" s="1644"/>
      <c r="V71" s="1644"/>
      <c r="W71" s="1374"/>
      <c r="X71" s="1374"/>
      <c r="Y71" s="1374"/>
      <c r="Z71" s="1374"/>
      <c r="AA71" s="1644"/>
      <c r="AB71" s="1374"/>
      <c r="AC71" s="1374"/>
      <c r="AD71" s="552"/>
      <c r="AE71" s="1374"/>
      <c r="AF71" s="1374"/>
      <c r="AG71" s="1374"/>
      <c r="AH71" s="1374"/>
      <c r="AI71" s="1374"/>
      <c r="AJ71" s="1640"/>
      <c r="AK71" s="630"/>
      <c r="AL71" s="630"/>
      <c r="AM71" s="630"/>
      <c r="AN71" s="630"/>
      <c r="AO71" s="1649">
        <v>11</v>
      </c>
    </row>
    <row s="1649" customFormat="1" customHeight="1" ht="11.549999999999999">
      <c r="A72" s="995"/>
      <c r="B72" s="995"/>
      <c r="C72" s="995"/>
      <c r="D72" s="995"/>
      <c r="E72" s="995"/>
      <c r="F72" s="1644"/>
      <c r="G72" s="1644"/>
      <c r="H72" s="359"/>
      <c r="N72" s="1649"/>
      <c r="O72" s="1649"/>
      <c r="P72" s="1649"/>
      <c r="Q72" s="1649"/>
      <c r="R72" s="1374"/>
      <c r="T72" s="1374"/>
      <c r="U72" s="1644"/>
      <c r="V72" s="1644"/>
      <c r="W72" s="1374"/>
      <c r="X72" s="1374"/>
      <c r="Y72" s="1374"/>
      <c r="Z72" s="1374"/>
      <c r="AA72" s="1644"/>
      <c r="AB72" s="1374"/>
      <c r="AC72" s="1374"/>
      <c r="AD72" s="552"/>
      <c r="AE72" s="1374"/>
      <c r="AF72" s="1374"/>
      <c r="AG72" s="1374"/>
      <c r="AH72" s="1374"/>
      <c r="AI72" s="1374"/>
      <c r="AJ72" s="1640"/>
      <c r="AK72" s="630"/>
      <c r="AL72" s="630"/>
      <c r="AM72" s="630"/>
      <c r="AN72" s="630"/>
      <c r="AO72" s="1649">
        <v>11</v>
      </c>
    </row>
    <row s="1649" customFormat="1" customHeight="1" ht="11.549999999999999">
      <c r="A73" s="995"/>
      <c r="B73" s="995"/>
      <c r="C73" s="995"/>
      <c r="D73" s="995"/>
      <c r="E73" s="995"/>
      <c r="F73" s="1644"/>
      <c r="G73" s="1644"/>
      <c r="H73" s="359"/>
      <c r="N73" s="1649"/>
      <c r="O73" s="1649"/>
      <c r="P73" s="1649"/>
      <c r="Q73" s="1649"/>
      <c r="R73" s="1374"/>
      <c r="T73" s="1374"/>
      <c r="U73" s="1644"/>
      <c r="V73" s="1644"/>
      <c r="W73" s="1374"/>
      <c r="X73" s="1374"/>
      <c r="Y73" s="1374"/>
      <c r="Z73" s="1374"/>
      <c r="AA73" s="1644"/>
      <c r="AB73" s="1374"/>
      <c r="AC73" s="1374"/>
      <c r="AD73" s="552"/>
      <c r="AE73" s="1374"/>
      <c r="AF73" s="1374"/>
      <c r="AG73" s="1374"/>
      <c r="AH73" s="1374"/>
      <c r="AI73" s="1374"/>
      <c r="AJ73" s="1640"/>
      <c r="AK73" s="630"/>
      <c r="AL73" s="630"/>
      <c r="AM73" s="630"/>
      <c r="AN73" s="630"/>
      <c r="AO73" s="1649">
        <v>11</v>
      </c>
    </row>
    <row s="1649" customFormat="1" customHeight="1" ht="11.549999999999999">
      <c r="A74" s="995"/>
      <c r="B74" s="995"/>
      <c r="C74" s="995"/>
      <c r="D74" s="995"/>
      <c r="E74" s="995"/>
      <c r="F74" s="1644"/>
      <c r="G74" s="1644"/>
      <c r="H74" s="359"/>
      <c r="N74" s="1649"/>
      <c r="O74" s="1649"/>
      <c r="P74" s="1649"/>
      <c r="Q74" s="1649"/>
      <c r="R74" s="1374"/>
      <c r="T74" s="1374"/>
      <c r="U74" s="1644"/>
      <c r="V74" s="1644"/>
      <c r="W74" s="1374"/>
      <c r="X74" s="1374"/>
      <c r="Y74" s="1374"/>
      <c r="Z74" s="1374"/>
      <c r="AA74" s="1644"/>
      <c r="AB74" s="1374"/>
      <c r="AC74" s="1374"/>
      <c r="AD74" s="552"/>
      <c r="AE74" s="1374"/>
      <c r="AF74" s="1374"/>
      <c r="AG74" s="1374"/>
      <c r="AH74" s="1374"/>
      <c r="AI74" s="1374"/>
      <c r="AJ74" s="1640"/>
      <c r="AK74" s="630"/>
      <c r="AL74" s="630"/>
      <c r="AM74" s="630"/>
      <c r="AN74" s="630"/>
      <c r="AO74" s="1649">
        <v>11</v>
      </c>
    </row>
    <row s="1649" customFormat="1" customHeight="1" ht="11.549999999999999">
      <c r="A75" s="995"/>
      <c r="B75" s="995"/>
      <c r="C75" s="995"/>
      <c r="D75" s="995"/>
      <c r="E75" s="995"/>
      <c r="F75" s="1644"/>
      <c r="G75" s="1644"/>
      <c r="H75" s="359"/>
      <c r="N75" s="1649"/>
      <c r="O75" s="1649"/>
      <c r="P75" s="1649"/>
      <c r="Q75" s="1649"/>
      <c r="R75" s="1374"/>
      <c r="T75" s="1374"/>
      <c r="U75" s="1644"/>
      <c r="V75" s="1644"/>
      <c r="W75" s="1374"/>
      <c r="X75" s="1374"/>
      <c r="Y75" s="1374"/>
      <c r="Z75" s="1374"/>
      <c r="AA75" s="1644"/>
      <c r="AB75" s="1374"/>
      <c r="AC75" s="1374"/>
      <c r="AD75" s="552"/>
      <c r="AE75" s="1374"/>
      <c r="AF75" s="1374"/>
      <c r="AG75" s="1374"/>
      <c r="AH75" s="1374"/>
      <c r="AI75" s="1374"/>
      <c r="AJ75" s="1640"/>
      <c r="AK75" s="630"/>
      <c r="AL75" s="630"/>
      <c r="AM75" s="630"/>
      <c r="AN75" s="630"/>
      <c r="AO75" s="1649">
        <v>11</v>
      </c>
    </row>
    <row s="1649" customFormat="1" customHeight="1" ht="11.549999999999999">
      <c r="A76" s="995"/>
      <c r="B76" s="995"/>
      <c r="C76" s="995"/>
      <c r="D76" s="995"/>
      <c r="E76" s="995"/>
      <c r="F76" s="1644"/>
      <c r="G76" s="1644"/>
      <c r="H76" s="359"/>
      <c r="N76" s="1649"/>
      <c r="O76" s="1649"/>
      <c r="P76" s="1649"/>
      <c r="Q76" s="1649"/>
      <c r="R76" s="1374"/>
      <c r="T76" s="1374"/>
      <c r="U76" s="1644"/>
      <c r="V76" s="1644"/>
      <c r="W76" s="1374"/>
      <c r="X76" s="1374"/>
      <c r="Y76" s="1374"/>
      <c r="Z76" s="1374"/>
      <c r="AA76" s="1644"/>
      <c r="AB76" s="1374"/>
      <c r="AC76" s="1374"/>
      <c r="AD76" s="552"/>
      <c r="AE76" s="1374"/>
      <c r="AF76" s="1374"/>
      <c r="AG76" s="1374"/>
      <c r="AH76" s="1374"/>
      <c r="AI76" s="1374"/>
      <c r="AJ76" s="1640"/>
      <c r="AK76" s="630"/>
      <c r="AL76" s="630"/>
      <c r="AM76" s="630"/>
      <c r="AN76" s="630"/>
      <c r="AO76" s="1649">
        <v>11</v>
      </c>
    </row>
    <row s="1649" customFormat="1" customHeight="1" ht="11.549999999999999">
      <c r="A77" s="995"/>
      <c r="B77" s="995"/>
      <c r="C77" s="995"/>
      <c r="D77" s="995"/>
      <c r="E77" s="995"/>
      <c r="F77" s="1644"/>
      <c r="G77" s="1644"/>
      <c r="H77" s="359"/>
      <c r="N77" s="1649"/>
      <c r="O77" s="1649"/>
      <c r="P77" s="1649"/>
      <c r="Q77" s="1649"/>
      <c r="R77" s="1374"/>
      <c r="T77" s="1374"/>
      <c r="U77" s="1644"/>
      <c r="V77" s="1644"/>
      <c r="W77" s="1374"/>
      <c r="X77" s="1374"/>
      <c r="Y77" s="1374"/>
      <c r="Z77" s="1374"/>
      <c r="AA77" s="1644"/>
      <c r="AB77" s="1374"/>
      <c r="AC77" s="1374"/>
      <c r="AD77" s="552"/>
      <c r="AE77" s="1374"/>
      <c r="AF77" s="1374"/>
      <c r="AG77" s="1374"/>
      <c r="AH77" s="1374"/>
      <c r="AI77" s="1374"/>
      <c r="AJ77" s="1640"/>
      <c r="AK77" s="630"/>
      <c r="AL77" s="630"/>
      <c r="AM77" s="630"/>
      <c r="AN77" s="630"/>
      <c r="AO77" s="1649">
        <v>11</v>
      </c>
    </row>
    <row s="1649" customFormat="1" customHeight="1" ht="11.549999999999999">
      <c r="A78" s="995"/>
      <c r="B78" s="995"/>
      <c r="C78" s="995"/>
      <c r="D78" s="995"/>
      <c r="E78" s="995"/>
      <c r="F78" s="1644"/>
      <c r="G78" s="1644"/>
      <c r="H78" s="359"/>
      <c r="N78" s="1649"/>
      <c r="O78" s="1649"/>
      <c r="P78" s="1649"/>
      <c r="Q78" s="1649"/>
      <c r="R78" s="1374"/>
      <c r="T78" s="1374"/>
      <c r="U78" s="1644"/>
      <c r="V78" s="1644"/>
      <c r="W78" s="1374"/>
      <c r="X78" s="1374"/>
      <c r="Y78" s="1374"/>
      <c r="Z78" s="1374"/>
      <c r="AA78" s="1644"/>
      <c r="AB78" s="1374"/>
      <c r="AC78" s="1374"/>
      <c r="AD78" s="552"/>
      <c r="AE78" s="1374"/>
      <c r="AF78" s="1374"/>
      <c r="AG78" s="1374"/>
      <c r="AH78" s="1374"/>
      <c r="AI78" s="1374"/>
      <c r="AJ78" s="1640"/>
      <c r="AK78" s="630"/>
      <c r="AL78" s="630"/>
      <c r="AM78" s="630"/>
      <c r="AN78" s="630"/>
      <c r="AO78" s="1649">
        <v>11</v>
      </c>
    </row>
    <row s="1649" customFormat="1" customHeight="1" ht="11.549999999999999">
      <c r="A79" s="995"/>
      <c r="B79" s="995"/>
      <c r="C79" s="995"/>
      <c r="D79" s="995"/>
      <c r="E79" s="995"/>
      <c r="F79" s="1644"/>
      <c r="G79" s="1644"/>
      <c r="H79" s="359"/>
      <c r="N79" s="1649"/>
      <c r="O79" s="1649"/>
      <c r="P79" s="1649"/>
      <c r="Q79" s="1649"/>
      <c r="R79" s="1374"/>
      <c r="T79" s="1374"/>
      <c r="U79" s="1644"/>
      <c r="V79" s="1644"/>
      <c r="W79" s="1374"/>
      <c r="X79" s="1374"/>
      <c r="Y79" s="1374"/>
      <c r="Z79" s="1374"/>
      <c r="AA79" s="1644"/>
      <c r="AB79" s="1374"/>
      <c r="AC79" s="1374"/>
      <c r="AD79" s="552"/>
      <c r="AE79" s="1374"/>
      <c r="AF79" s="1374"/>
      <c r="AG79" s="1374"/>
      <c r="AH79" s="1374"/>
      <c r="AI79" s="1374"/>
      <c r="AJ79" s="1640"/>
      <c r="AK79" s="630"/>
      <c r="AL79" s="630"/>
      <c r="AM79" s="630"/>
      <c r="AN79" s="630"/>
      <c r="AO79" s="1649">
        <v>11</v>
      </c>
    </row>
    <row s="1649" customFormat="1" customHeight="1" ht="11.549999999999999">
      <c r="A80" s="995"/>
      <c r="B80" s="995"/>
      <c r="C80" s="995"/>
      <c r="D80" s="995"/>
      <c r="E80" s="995"/>
      <c r="F80" s="1644"/>
      <c r="G80" s="1644"/>
      <c r="H80" s="359"/>
      <c r="N80" s="1649"/>
      <c r="O80" s="1649"/>
      <c r="P80" s="1649"/>
      <c r="Q80" s="1649"/>
      <c r="R80" s="1374"/>
      <c r="T80" s="1374"/>
      <c r="U80" s="1644"/>
      <c r="V80" s="1644"/>
      <c r="W80" s="1374"/>
      <c r="X80" s="1374"/>
      <c r="Y80" s="1374"/>
      <c r="Z80" s="1374"/>
      <c r="AA80" s="1644"/>
      <c r="AB80" s="1374"/>
      <c r="AC80" s="1374"/>
      <c r="AD80" s="552"/>
      <c r="AE80" s="1374"/>
      <c r="AF80" s="1374"/>
      <c r="AG80" s="1374"/>
      <c r="AH80" s="1374"/>
      <c r="AI80" s="1374"/>
      <c r="AJ80" s="1640"/>
      <c r="AK80" s="630"/>
      <c r="AL80" s="630"/>
      <c r="AM80" s="630"/>
      <c r="AN80" s="630"/>
      <c r="AO80" s="1649">
        <v>11</v>
      </c>
    </row>
    <row s="1649" customFormat="1" customHeight="1" ht="11.549999999999999">
      <c r="A81" s="995"/>
      <c r="B81" s="995"/>
      <c r="C81" s="995"/>
      <c r="D81" s="995"/>
      <c r="E81" s="995"/>
      <c r="F81" s="1644"/>
      <c r="G81" s="1644"/>
      <c r="H81" s="359"/>
      <c r="N81" s="1649"/>
      <c r="O81" s="1649"/>
      <c r="P81" s="1649"/>
      <c r="Q81" s="1649"/>
      <c r="R81" s="1374"/>
      <c r="T81" s="1374"/>
      <c r="U81" s="1644"/>
      <c r="V81" s="1644"/>
      <c r="W81" s="1374"/>
      <c r="X81" s="1374"/>
      <c r="Y81" s="1374"/>
      <c r="Z81" s="1374"/>
      <c r="AA81" s="1644"/>
      <c r="AB81" s="1374"/>
      <c r="AC81" s="1374"/>
      <c r="AD81" s="552"/>
      <c r="AE81" s="1374"/>
      <c r="AF81" s="1374"/>
      <c r="AG81" s="1374"/>
      <c r="AH81" s="1374"/>
      <c r="AI81" s="1374"/>
      <c r="AJ81" s="1640"/>
      <c r="AK81" s="630"/>
      <c r="AL81" s="630"/>
      <c r="AM81" s="630"/>
      <c r="AN81" s="630"/>
      <c r="AO81" s="1649">
        <v>11</v>
      </c>
    </row>
    <row s="1649" customFormat="1" customHeight="1" ht="11.549999999999999">
      <c r="A82" s="995"/>
      <c r="B82" s="995"/>
      <c r="C82" s="995"/>
      <c r="D82" s="995"/>
      <c r="E82" s="995"/>
      <c r="F82" s="1644"/>
      <c r="G82" s="1644"/>
      <c r="H82" s="359"/>
      <c r="N82" s="1649"/>
      <c r="O82" s="1649"/>
      <c r="P82" s="1649"/>
      <c r="Q82" s="1649"/>
      <c r="R82" s="1374"/>
      <c r="T82" s="1374"/>
      <c r="U82" s="1644"/>
      <c r="V82" s="1644"/>
      <c r="W82" s="1374"/>
      <c r="X82" s="1374"/>
      <c r="Y82" s="1374"/>
      <c r="Z82" s="1374"/>
      <c r="AA82" s="1644"/>
      <c r="AB82" s="1374"/>
      <c r="AC82" s="1374"/>
      <c r="AD82" s="552"/>
      <c r="AE82" s="1374"/>
      <c r="AF82" s="1374"/>
      <c r="AG82" s="1374"/>
      <c r="AH82" s="1374"/>
      <c r="AI82" s="1374"/>
      <c r="AJ82" s="1640"/>
      <c r="AK82" s="630"/>
      <c r="AL82" s="630"/>
      <c r="AM82" s="630"/>
      <c r="AN82" s="630"/>
      <c r="AO82" s="1649">
        <v>11</v>
      </c>
    </row>
    <row s="1649" customFormat="1" customHeight="1" ht="11.549999999999999">
      <c r="A83" s="995"/>
      <c r="B83" s="995"/>
      <c r="C83" s="995"/>
      <c r="D83" s="995"/>
      <c r="E83" s="995"/>
      <c r="F83" s="1644"/>
      <c r="G83" s="1644"/>
      <c r="H83" s="359"/>
      <c r="N83" s="1649"/>
      <c r="O83" s="1649"/>
      <c r="P83" s="1649"/>
      <c r="Q83" s="1649"/>
      <c r="R83" s="1374"/>
      <c r="T83" s="1374"/>
      <c r="U83" s="1644"/>
      <c r="V83" s="1644"/>
      <c r="W83" s="1374"/>
      <c r="X83" s="1374"/>
      <c r="Y83" s="1374"/>
      <c r="Z83" s="1374"/>
      <c r="AA83" s="1644"/>
      <c r="AB83" s="1374"/>
      <c r="AC83" s="1374"/>
      <c r="AD83" s="552"/>
      <c r="AE83" s="1374"/>
      <c r="AF83" s="1374"/>
      <c r="AG83" s="1374"/>
      <c r="AH83" s="1374"/>
      <c r="AI83" s="1374"/>
      <c r="AJ83" s="1640"/>
      <c r="AK83" s="630"/>
      <c r="AL83" s="630"/>
      <c r="AM83" s="630"/>
      <c r="AN83" s="630"/>
      <c r="AO83" s="1649">
        <v>11</v>
      </c>
    </row>
    <row s="1649" customFormat="1" customHeight="1" ht="11.549999999999999">
      <c r="A84" s="995"/>
      <c r="B84" s="995"/>
      <c r="C84" s="995"/>
      <c r="D84" s="995"/>
      <c r="E84" s="995"/>
      <c r="F84" s="1644"/>
      <c r="G84" s="1644"/>
      <c r="H84" s="359"/>
      <c r="N84" s="1649"/>
      <c r="O84" s="1649"/>
      <c r="P84" s="1649"/>
      <c r="Q84" s="1649"/>
      <c r="R84" s="1374"/>
      <c r="T84" s="1374"/>
      <c r="U84" s="1644"/>
      <c r="V84" s="1644"/>
      <c r="W84" s="1374"/>
      <c r="X84" s="1374"/>
      <c r="Y84" s="1374"/>
      <c r="Z84" s="1374"/>
      <c r="AA84" s="1644"/>
      <c r="AB84" s="1374"/>
      <c r="AC84" s="1374"/>
      <c r="AD84" s="552"/>
      <c r="AE84" s="1374"/>
      <c r="AF84" s="1374"/>
      <c r="AG84" s="1374"/>
      <c r="AH84" s="1374"/>
      <c r="AI84" s="1374"/>
      <c r="AJ84" s="1640"/>
      <c r="AK84" s="630"/>
      <c r="AL84" s="630"/>
      <c r="AM84" s="630"/>
      <c r="AN84" s="630"/>
      <c r="AO84" s="1649">
        <v>11</v>
      </c>
    </row>
    <row s="1649" customFormat="1" customHeight="1" ht="11.549999999999999">
      <c r="A85" s="995"/>
      <c r="B85" s="995"/>
      <c r="C85" s="995"/>
      <c r="D85" s="995"/>
      <c r="E85" s="995"/>
      <c r="F85" s="1644"/>
      <c r="G85" s="1644"/>
      <c r="H85" s="359"/>
      <c r="N85" s="1649"/>
      <c r="O85" s="1649"/>
      <c r="P85" s="1649"/>
      <c r="Q85" s="1649"/>
      <c r="R85" s="1374"/>
      <c r="T85" s="1374"/>
      <c r="U85" s="1644"/>
      <c r="V85" s="1644"/>
      <c r="W85" s="1374"/>
      <c r="X85" s="1374"/>
      <c r="Y85" s="1374"/>
      <c r="Z85" s="1374"/>
      <c r="AA85" s="1644"/>
      <c r="AB85" s="1374"/>
      <c r="AC85" s="1374"/>
      <c r="AD85" s="552"/>
      <c r="AE85" s="1374"/>
      <c r="AF85" s="1374"/>
      <c r="AG85" s="1374"/>
      <c r="AH85" s="1374"/>
      <c r="AI85" s="1374"/>
      <c r="AJ85" s="1640"/>
      <c r="AK85" s="630"/>
      <c r="AL85" s="630"/>
      <c r="AM85" s="630"/>
      <c r="AN85" s="630"/>
      <c r="AO85" s="1649">
        <v>11</v>
      </c>
    </row>
    <row s="1649" customFormat="1" customHeight="1" ht="11.549999999999999">
      <c r="A86" s="995"/>
      <c r="B86" s="995"/>
      <c r="C86" s="995"/>
      <c r="D86" s="995"/>
      <c r="E86" s="995"/>
      <c r="F86" s="1644"/>
      <c r="G86" s="1644"/>
      <c r="H86" s="359"/>
      <c r="N86" s="1649"/>
      <c r="O86" s="1649"/>
      <c r="P86" s="1649"/>
      <c r="Q86" s="1649"/>
      <c r="R86" s="1374"/>
      <c r="T86" s="1374"/>
      <c r="U86" s="1644"/>
      <c r="V86" s="1644"/>
      <c r="W86" s="1374"/>
      <c r="X86" s="1374"/>
      <c r="Y86" s="1374"/>
      <c r="Z86" s="1374"/>
      <c r="AA86" s="1644"/>
      <c r="AB86" s="1374"/>
      <c r="AC86" s="1374"/>
      <c r="AD86" s="552"/>
      <c r="AE86" s="1374"/>
      <c r="AF86" s="1374"/>
      <c r="AG86" s="1374"/>
      <c r="AH86" s="1374"/>
      <c r="AI86" s="1374"/>
      <c r="AJ86" s="1640"/>
      <c r="AK86" s="630"/>
      <c r="AL86" s="630"/>
      <c r="AM86" s="630"/>
      <c r="AN86" s="630"/>
      <c r="AO86" s="1649">
        <v>11</v>
      </c>
    </row>
    <row s="1649" customFormat="1" customHeight="1" ht="11.549999999999999">
      <c r="A87" s="995"/>
      <c r="B87" s="995"/>
      <c r="C87" s="995"/>
      <c r="D87" s="995"/>
      <c r="E87" s="995"/>
      <c r="F87" s="1644"/>
      <c r="G87" s="1644"/>
      <c r="H87" s="359"/>
      <c r="N87" s="1649"/>
      <c r="O87" s="1649"/>
      <c r="P87" s="1649"/>
      <c r="Q87" s="1649"/>
      <c r="R87" s="1374"/>
      <c r="T87" s="1374"/>
      <c r="U87" s="1644"/>
      <c r="V87" s="1644"/>
      <c r="W87" s="1374"/>
      <c r="X87" s="1374"/>
      <c r="Y87" s="1374"/>
      <c r="Z87" s="1374"/>
      <c r="AA87" s="1644"/>
      <c r="AB87" s="1374"/>
      <c r="AC87" s="1374"/>
      <c r="AD87" s="552"/>
      <c r="AE87" s="1374"/>
      <c r="AF87" s="1374"/>
      <c r="AG87" s="1374"/>
      <c r="AH87" s="1374"/>
      <c r="AI87" s="1374"/>
      <c r="AJ87" s="1640"/>
      <c r="AK87" s="630"/>
      <c r="AL87" s="630"/>
      <c r="AM87" s="630"/>
      <c r="AN87" s="630"/>
      <c r="AO87" s="1649">
        <v>11</v>
      </c>
    </row>
    <row s="1649" customFormat="1" customHeight="1" ht="11.549999999999999">
      <c r="A88" s="995"/>
      <c r="B88" s="995"/>
      <c r="C88" s="995"/>
      <c r="D88" s="995"/>
      <c r="E88" s="995"/>
      <c r="F88" s="1644"/>
      <c r="G88" s="1644"/>
      <c r="H88" s="359"/>
      <c r="N88" s="1649"/>
      <c r="O88" s="1649"/>
      <c r="P88" s="1649"/>
      <c r="Q88" s="1649"/>
      <c r="R88" s="1374"/>
      <c r="T88" s="1374"/>
      <c r="U88" s="1644"/>
      <c r="V88" s="1644"/>
      <c r="W88" s="1374"/>
      <c r="X88" s="1374"/>
      <c r="Y88" s="1374"/>
      <c r="Z88" s="1374"/>
      <c r="AA88" s="1644"/>
      <c r="AB88" s="1374"/>
      <c r="AC88" s="1374"/>
      <c r="AD88" s="552"/>
      <c r="AE88" s="1374"/>
      <c r="AF88" s="1374"/>
      <c r="AG88" s="1374"/>
      <c r="AH88" s="1374"/>
      <c r="AI88" s="1374"/>
      <c r="AJ88" s="1640"/>
      <c r="AK88" s="630"/>
      <c r="AL88" s="630"/>
      <c r="AM88" s="630"/>
      <c r="AN88" s="630"/>
      <c r="AO88" s="1649">
        <v>11</v>
      </c>
    </row>
    <row s="1649" customFormat="1" customHeight="1" ht="11.549999999999999">
      <c r="A89" s="995"/>
      <c r="B89" s="995"/>
      <c r="C89" s="995"/>
      <c r="D89" s="995"/>
      <c r="E89" s="995"/>
      <c r="F89" s="1644"/>
      <c r="G89" s="1644"/>
      <c r="H89" s="359"/>
      <c r="N89" s="1649"/>
      <c r="O89" s="1649"/>
      <c r="P89" s="1649"/>
      <c r="Q89" s="1649"/>
      <c r="R89" s="1374"/>
      <c r="T89" s="1374"/>
      <c r="U89" s="1644"/>
      <c r="V89" s="1644"/>
      <c r="W89" s="1374"/>
      <c r="X89" s="1374"/>
      <c r="Y89" s="1374"/>
      <c r="Z89" s="1374"/>
      <c r="AA89" s="1644"/>
      <c r="AB89" s="1374"/>
      <c r="AC89" s="1374"/>
      <c r="AD89" s="552"/>
      <c r="AE89" s="1374"/>
      <c r="AF89" s="1374"/>
      <c r="AG89" s="1374"/>
      <c r="AH89" s="1374"/>
      <c r="AI89" s="1374"/>
      <c r="AJ89" s="1640"/>
      <c r="AK89" s="630"/>
      <c r="AL89" s="630"/>
      <c r="AM89" s="630"/>
      <c r="AN89" s="630"/>
      <c r="AO89" s="1649">
        <v>11</v>
      </c>
    </row>
    <row s="1649" customFormat="1" customHeight="1" ht="11.549999999999999">
      <c r="A90" s="995"/>
      <c r="B90" s="995"/>
      <c r="C90" s="995"/>
      <c r="D90" s="995"/>
      <c r="E90" s="995"/>
      <c r="F90" s="1644"/>
      <c r="G90" s="1644"/>
      <c r="H90" s="359"/>
      <c r="N90" s="1649"/>
      <c r="O90" s="1649"/>
      <c r="P90" s="1649"/>
      <c r="Q90" s="1649"/>
      <c r="R90" s="1374"/>
      <c r="T90" s="1374"/>
      <c r="U90" s="1644"/>
      <c r="V90" s="1644"/>
      <c r="W90" s="1374"/>
      <c r="X90" s="1374"/>
      <c r="Y90" s="1374"/>
      <c r="Z90" s="1374"/>
      <c r="AA90" s="1644"/>
      <c r="AB90" s="1374"/>
      <c r="AC90" s="1374"/>
      <c r="AD90" s="552"/>
      <c r="AE90" s="1374"/>
      <c r="AF90" s="1374"/>
      <c r="AG90" s="1374"/>
      <c r="AH90" s="1374"/>
      <c r="AI90" s="1374"/>
      <c r="AJ90" s="1640"/>
      <c r="AK90" s="630"/>
      <c r="AL90" s="630"/>
      <c r="AM90" s="630"/>
      <c r="AN90" s="630"/>
      <c r="AO90" s="1649">
        <v>11</v>
      </c>
    </row>
    <row s="1649" customFormat="1" customHeight="1" ht="11.549999999999999">
      <c r="A91" s="995"/>
      <c r="B91" s="995"/>
      <c r="C91" s="995"/>
      <c r="D91" s="995"/>
      <c r="E91" s="995"/>
      <c r="F91" s="1644"/>
      <c r="G91" s="1644"/>
      <c r="H91" s="359"/>
      <c r="N91" s="1649"/>
      <c r="O91" s="1649"/>
      <c r="P91" s="1649"/>
      <c r="Q91" s="1649"/>
      <c r="R91" s="1374"/>
      <c r="T91" s="1374"/>
      <c r="U91" s="1644"/>
      <c r="V91" s="1644"/>
      <c r="W91" s="1374"/>
      <c r="X91" s="1374"/>
      <c r="Y91" s="1374"/>
      <c r="Z91" s="1374"/>
      <c r="AA91" s="1644"/>
      <c r="AB91" s="1374"/>
      <c r="AC91" s="1374"/>
      <c r="AD91" s="552"/>
      <c r="AE91" s="1374"/>
      <c r="AF91" s="1374"/>
      <c r="AG91" s="1374"/>
      <c r="AH91" s="1374"/>
      <c r="AI91" s="1374"/>
      <c r="AJ91" s="1640"/>
      <c r="AK91" s="630"/>
      <c r="AL91" s="630"/>
      <c r="AM91" s="630"/>
      <c r="AN91" s="630"/>
      <c r="AO91" s="1649">
        <v>11</v>
      </c>
    </row>
    <row s="1649" customFormat="1" customHeight="1" ht="11.549999999999999">
      <c r="A92" s="995"/>
      <c r="B92" s="995"/>
      <c r="C92" s="995"/>
      <c r="D92" s="995"/>
      <c r="E92" s="995"/>
      <c r="F92" s="1644"/>
      <c r="G92" s="1644"/>
      <c r="H92" s="359"/>
      <c r="N92" s="1649"/>
      <c r="O92" s="1649"/>
      <c r="P92" s="1649"/>
      <c r="Q92" s="1649"/>
      <c r="R92" s="1374"/>
      <c r="T92" s="1374"/>
      <c r="U92" s="1644"/>
      <c r="V92" s="1644"/>
      <c r="W92" s="1374"/>
      <c r="X92" s="1374"/>
      <c r="Y92" s="1374"/>
      <c r="Z92" s="1374"/>
      <c r="AA92" s="1644"/>
      <c r="AB92" s="1374"/>
      <c r="AC92" s="1374"/>
      <c r="AD92" s="552"/>
      <c r="AE92" s="1374"/>
      <c r="AF92" s="1374"/>
      <c r="AG92" s="1374"/>
      <c r="AH92" s="1374"/>
      <c r="AI92" s="1374"/>
      <c r="AJ92" s="1640"/>
      <c r="AK92" s="630"/>
      <c r="AL92" s="630"/>
      <c r="AM92" s="630"/>
      <c r="AN92" s="630"/>
      <c r="AO92" s="1649">
        <v>11</v>
      </c>
    </row>
    <row s="1649" customFormat="1" customHeight="1" ht="11.549999999999999">
      <c r="A93" s="995"/>
      <c r="B93" s="995"/>
      <c r="C93" s="995"/>
      <c r="D93" s="995"/>
      <c r="E93" s="995"/>
      <c r="F93" s="1644"/>
      <c r="G93" s="1644"/>
      <c r="H93" s="359"/>
      <c r="N93" s="1649"/>
      <c r="O93" s="1649"/>
      <c r="P93" s="1649"/>
      <c r="Q93" s="1649"/>
      <c r="R93" s="1374"/>
      <c r="T93" s="1374"/>
      <c r="U93" s="1644"/>
      <c r="V93" s="1644"/>
      <c r="W93" s="1374"/>
      <c r="X93" s="1374"/>
      <c r="Y93" s="1374"/>
      <c r="Z93" s="1374"/>
      <c r="AA93" s="1644"/>
      <c r="AB93" s="1374"/>
      <c r="AC93" s="1374"/>
      <c r="AD93" s="552"/>
      <c r="AE93" s="1374"/>
      <c r="AF93" s="1374"/>
      <c r="AG93" s="1374"/>
      <c r="AH93" s="1374"/>
      <c r="AI93" s="1374"/>
      <c r="AJ93" s="1640"/>
      <c r="AK93" s="630"/>
      <c r="AL93" s="630"/>
      <c r="AM93" s="630"/>
      <c r="AN93" s="630"/>
      <c r="AO93" s="1649">
        <v>11</v>
      </c>
    </row>
    <row s="1649" customFormat="1" customHeight="1" ht="11.549999999999999">
      <c r="A94" s="995"/>
      <c r="B94" s="995"/>
      <c r="C94" s="995"/>
      <c r="D94" s="995"/>
      <c r="E94" s="995"/>
      <c r="F94" s="1644"/>
      <c r="G94" s="1644"/>
      <c r="H94" s="359"/>
      <c r="N94" s="1649"/>
      <c r="O94" s="1649"/>
      <c r="P94" s="1649"/>
      <c r="Q94" s="1649"/>
      <c r="R94" s="1374"/>
      <c r="T94" s="1374"/>
      <c r="U94" s="1644"/>
      <c r="V94" s="1644"/>
      <c r="W94" s="1374"/>
      <c r="X94" s="1374"/>
      <c r="Y94" s="1374"/>
      <c r="Z94" s="1374"/>
      <c r="AA94" s="1644"/>
      <c r="AB94" s="1374"/>
      <c r="AC94" s="1374"/>
      <c r="AD94" s="552"/>
      <c r="AE94" s="1374"/>
      <c r="AF94" s="1374"/>
      <c r="AG94" s="1374"/>
      <c r="AH94" s="1374"/>
      <c r="AI94" s="1374"/>
      <c r="AJ94" s="1640"/>
      <c r="AK94" s="630"/>
      <c r="AL94" s="630"/>
      <c r="AM94" s="630"/>
      <c r="AN94" s="630"/>
      <c r="AO94" s="1649">
        <v>11</v>
      </c>
    </row>
    <row s="1649" customFormat="1" customHeight="1" ht="11.549999999999999">
      <c r="A95" s="995"/>
      <c r="B95" s="995"/>
      <c r="C95" s="995"/>
      <c r="D95" s="995"/>
      <c r="E95" s="995"/>
      <c r="F95" s="1644"/>
      <c r="G95" s="1644"/>
      <c r="H95" s="359"/>
      <c r="N95" s="1649"/>
      <c r="O95" s="1649"/>
      <c r="P95" s="1649"/>
      <c r="Q95" s="1649"/>
      <c r="R95" s="1374"/>
      <c r="T95" s="1374"/>
      <c r="U95" s="1644"/>
      <c r="V95" s="1644"/>
      <c r="W95" s="1374"/>
      <c r="X95" s="1374"/>
      <c r="Y95" s="1374"/>
      <c r="Z95" s="1374"/>
      <c r="AA95" s="1644"/>
      <c r="AB95" s="1374"/>
      <c r="AC95" s="1374"/>
      <c r="AD95" s="552"/>
      <c r="AE95" s="1374"/>
      <c r="AF95" s="1374"/>
      <c r="AG95" s="1374"/>
      <c r="AH95" s="1374"/>
      <c r="AI95" s="1374"/>
      <c r="AJ95" s="1640"/>
      <c r="AK95" s="630"/>
      <c r="AL95" s="630"/>
      <c r="AM95" s="630"/>
      <c r="AN95" s="630"/>
      <c r="AO95" s="1649">
        <v>11</v>
      </c>
    </row>
    <row s="1649" customFormat="1" customHeight="1" ht="11.549999999999999">
      <c r="A96" s="995"/>
      <c r="B96" s="995"/>
      <c r="C96" s="995"/>
      <c r="D96" s="995"/>
      <c r="E96" s="995"/>
      <c r="F96" s="1644"/>
      <c r="G96" s="1644"/>
      <c r="H96" s="359"/>
      <c r="N96" s="1649"/>
      <c r="O96" s="1649"/>
      <c r="P96" s="1649"/>
      <c r="Q96" s="1649"/>
      <c r="R96" s="1374"/>
      <c r="T96" s="1374"/>
      <c r="U96" s="1644"/>
      <c r="V96" s="1644"/>
      <c r="W96" s="1374"/>
      <c r="X96" s="1374"/>
      <c r="Y96" s="1374"/>
      <c r="Z96" s="1374"/>
      <c r="AA96" s="1644"/>
      <c r="AB96" s="1374"/>
      <c r="AC96" s="1374"/>
      <c r="AD96" s="552"/>
      <c r="AE96" s="1374"/>
      <c r="AF96" s="1374"/>
      <c r="AG96" s="1374"/>
      <c r="AH96" s="1374"/>
      <c r="AI96" s="1374"/>
      <c r="AJ96" s="1640"/>
      <c r="AK96" s="630"/>
      <c r="AL96" s="630"/>
      <c r="AM96" s="630"/>
      <c r="AN96" s="630"/>
      <c r="AO96" s="1649">
        <v>11</v>
      </c>
    </row>
    <row s="1649" customFormat="1" customHeight="1" ht="11.549999999999999">
      <c r="A97" s="995"/>
      <c r="B97" s="995"/>
      <c r="C97" s="995"/>
      <c r="D97" s="995"/>
      <c r="E97" s="995"/>
      <c r="F97" s="1644"/>
      <c r="G97" s="1644"/>
      <c r="H97" s="359"/>
      <c r="N97" s="1649"/>
      <c r="O97" s="1649"/>
      <c r="P97" s="1649"/>
      <c r="Q97" s="1649"/>
      <c r="R97" s="1374"/>
      <c r="T97" s="1374"/>
      <c r="U97" s="1644"/>
      <c r="V97" s="1644"/>
      <c r="W97" s="1374"/>
      <c r="X97" s="1374"/>
      <c r="Y97" s="1374"/>
      <c r="Z97" s="1374"/>
      <c r="AA97" s="1644"/>
      <c r="AB97" s="1374"/>
      <c r="AC97" s="1374"/>
      <c r="AD97" s="552"/>
      <c r="AE97" s="1374"/>
      <c r="AF97" s="1374"/>
      <c r="AG97" s="1374"/>
      <c r="AH97" s="1374"/>
      <c r="AI97" s="1374"/>
      <c r="AJ97" s="1640"/>
      <c r="AK97" s="630"/>
      <c r="AL97" s="630"/>
      <c r="AM97" s="630"/>
      <c r="AN97" s="630"/>
      <c r="AO97" s="1649">
        <v>11</v>
      </c>
    </row>
    <row s="1649" customFormat="1" customHeight="1" ht="11.549999999999999">
      <c r="A98" s="995"/>
      <c r="B98" s="995"/>
      <c r="C98" s="995"/>
      <c r="D98" s="995"/>
      <c r="E98" s="995"/>
      <c r="F98" s="1644"/>
      <c r="G98" s="1644"/>
      <c r="H98" s="359"/>
      <c r="N98" s="1649"/>
      <c r="O98" s="1649"/>
      <c r="P98" s="1649"/>
      <c r="Q98" s="1649"/>
      <c r="R98" s="1374"/>
      <c r="T98" s="1374"/>
      <c r="U98" s="1644"/>
      <c r="V98" s="1644"/>
      <c r="W98" s="1374"/>
      <c r="X98" s="1374"/>
      <c r="Y98" s="1374"/>
      <c r="Z98" s="1374"/>
      <c r="AA98" s="1644"/>
      <c r="AB98" s="1374"/>
      <c r="AC98" s="1374"/>
      <c r="AD98" s="552"/>
      <c r="AE98" s="1374"/>
      <c r="AF98" s="1374"/>
      <c r="AG98" s="1374"/>
      <c r="AH98" s="1374"/>
      <c r="AI98" s="1374"/>
      <c r="AJ98" s="1640"/>
      <c r="AK98" s="630"/>
      <c r="AL98" s="630"/>
      <c r="AM98" s="630"/>
      <c r="AN98" s="630"/>
      <c r="AO98" s="1649">
        <v>11</v>
      </c>
    </row>
    <row s="1649" customFormat="1" customHeight="1" ht="11.549999999999999">
      <c r="A99" s="995"/>
      <c r="B99" s="995"/>
      <c r="C99" s="995"/>
      <c r="D99" s="995"/>
      <c r="E99" s="995"/>
      <c r="F99" s="1644"/>
      <c r="G99" s="1644"/>
      <c r="H99" s="359"/>
      <c r="N99" s="1649"/>
      <c r="O99" s="1649"/>
      <c r="P99" s="1649"/>
      <c r="Q99" s="1649"/>
      <c r="R99" s="1374"/>
      <c r="T99" s="1374"/>
      <c r="U99" s="1644"/>
      <c r="V99" s="1644"/>
      <c r="W99" s="1374"/>
      <c r="X99" s="1374"/>
      <c r="Y99" s="1374"/>
      <c r="Z99" s="1374"/>
      <c r="AA99" s="1644"/>
      <c r="AB99" s="1374"/>
      <c r="AC99" s="1374"/>
      <c r="AD99" s="552"/>
      <c r="AE99" s="1374"/>
      <c r="AF99" s="1374"/>
      <c r="AG99" s="1374"/>
      <c r="AH99" s="1374"/>
      <c r="AI99" s="1374"/>
      <c r="AJ99" s="1640"/>
      <c r="AK99" s="630"/>
      <c r="AL99" s="630"/>
      <c r="AM99" s="630"/>
      <c r="AN99" s="630"/>
      <c r="AO99" s="1649">
        <v>11</v>
      </c>
    </row>
    <row s="1649" customFormat="1" customHeight="1" ht="11.549999999999999">
      <c r="A100" s="995"/>
      <c r="B100" s="995"/>
      <c r="C100" s="995"/>
      <c r="D100" s="995"/>
      <c r="E100" s="995"/>
      <c r="F100" s="1644"/>
      <c r="G100" s="1644"/>
      <c r="H100" s="359"/>
      <c r="N100" s="1649"/>
      <c r="O100" s="1649"/>
      <c r="P100" s="1649"/>
      <c r="Q100" s="1649"/>
      <c r="R100" s="1374"/>
      <c r="T100" s="1374"/>
      <c r="U100" s="1644"/>
      <c r="V100" s="1644"/>
      <c r="W100" s="1374"/>
      <c r="X100" s="1374"/>
      <c r="Y100" s="1374"/>
      <c r="Z100" s="1374"/>
      <c r="AA100" s="1644"/>
      <c r="AB100" s="1374"/>
      <c r="AC100" s="1374"/>
      <c r="AD100" s="552"/>
      <c r="AE100" s="1374"/>
      <c r="AF100" s="1374"/>
      <c r="AG100" s="1374"/>
      <c r="AH100" s="1374"/>
      <c r="AI100" s="1374"/>
      <c r="AJ100" s="1640"/>
      <c r="AK100" s="630"/>
      <c r="AL100" s="630"/>
      <c r="AM100" s="630"/>
      <c r="AN100" s="630"/>
      <c r="AO100" s="1649">
        <v>11</v>
      </c>
    </row>
    <row s="1649" customFormat="1" customHeight="1" ht="11.549999999999999">
      <c r="A101" s="995"/>
      <c r="B101" s="995"/>
      <c r="C101" s="995"/>
      <c r="D101" s="995"/>
      <c r="E101" s="995"/>
      <c r="F101" s="1644"/>
      <c r="G101" s="1644"/>
      <c r="H101" s="359"/>
      <c r="N101" s="1649"/>
      <c r="O101" s="1649"/>
      <c r="P101" s="1649"/>
      <c r="Q101" s="1649"/>
      <c r="R101" s="1374"/>
      <c r="T101" s="1374"/>
      <c r="U101" s="1644"/>
      <c r="V101" s="1644"/>
      <c r="W101" s="1374"/>
      <c r="X101" s="1374"/>
      <c r="Y101" s="1374"/>
      <c r="Z101" s="1374"/>
      <c r="AA101" s="1644"/>
      <c r="AB101" s="1374"/>
      <c r="AC101" s="1374"/>
      <c r="AD101" s="552"/>
      <c r="AE101" s="1374"/>
      <c r="AF101" s="1374"/>
      <c r="AG101" s="1374"/>
      <c r="AH101" s="1374"/>
      <c r="AI101" s="1374"/>
      <c r="AJ101" s="1640"/>
      <c r="AK101" s="630"/>
      <c r="AL101" s="630"/>
      <c r="AM101" s="630"/>
      <c r="AN101" s="630"/>
      <c r="AO101" s="1649">
        <v>11</v>
      </c>
    </row>
    <row s="1649" customFormat="1" customHeight="1" ht="11.549999999999999">
      <c r="A102" s="995"/>
      <c r="B102" s="995"/>
      <c r="C102" s="995"/>
      <c r="D102" s="995"/>
      <c r="E102" s="995"/>
      <c r="F102" s="1644"/>
      <c r="G102" s="1644"/>
      <c r="H102" s="359"/>
      <c r="N102" s="1649"/>
      <c r="O102" s="1649"/>
      <c r="P102" s="1649"/>
      <c r="Q102" s="1649"/>
      <c r="R102" s="1374"/>
      <c r="T102" s="1374"/>
      <c r="U102" s="1644"/>
      <c r="V102" s="1644"/>
      <c r="W102" s="1374"/>
      <c r="X102" s="1374"/>
      <c r="Y102" s="1374"/>
      <c r="Z102" s="1374"/>
      <c r="AA102" s="1644"/>
      <c r="AB102" s="1374"/>
      <c r="AC102" s="1374"/>
      <c r="AD102" s="552"/>
      <c r="AE102" s="1374"/>
      <c r="AF102" s="1374"/>
      <c r="AG102" s="1374"/>
      <c r="AH102" s="1374"/>
      <c r="AI102" s="1374"/>
      <c r="AJ102" s="1640"/>
      <c r="AK102" s="630"/>
      <c r="AL102" s="630"/>
      <c r="AM102" s="630"/>
      <c r="AN102" s="630"/>
      <c r="AO102" s="1649">
        <v>11</v>
      </c>
    </row>
    <row s="1649" customFormat="1" customHeight="1" ht="11.549999999999999">
      <c r="A103" s="995"/>
      <c r="B103" s="995"/>
      <c r="C103" s="995"/>
      <c r="D103" s="995"/>
      <c r="E103" s="995"/>
      <c r="F103" s="1644"/>
      <c r="G103" s="1644"/>
      <c r="H103" s="359"/>
      <c r="N103" s="1649"/>
      <c r="O103" s="1649"/>
      <c r="P103" s="1649"/>
      <c r="Q103" s="1649"/>
      <c r="R103" s="1374"/>
      <c r="T103" s="1374"/>
      <c r="U103" s="1644"/>
      <c r="V103" s="1644"/>
      <c r="W103" s="1374"/>
      <c r="X103" s="1374"/>
      <c r="Y103" s="1374"/>
      <c r="Z103" s="1374"/>
      <c r="AA103" s="1644"/>
      <c r="AB103" s="1374"/>
      <c r="AC103" s="1374"/>
      <c r="AD103" s="552"/>
      <c r="AE103" s="1374"/>
      <c r="AF103" s="1374"/>
      <c r="AG103" s="1374"/>
      <c r="AH103" s="1374"/>
      <c r="AI103" s="1374"/>
      <c r="AJ103" s="1640"/>
      <c r="AK103" s="630"/>
      <c r="AL103" s="630"/>
      <c r="AM103" s="630"/>
      <c r="AN103" s="630"/>
      <c r="AO103" s="1649">
        <v>11</v>
      </c>
    </row>
    <row s="1649" customFormat="1" customHeight="1" ht="11.549999999999999">
      <c r="A104" s="995"/>
      <c r="B104" s="995"/>
      <c r="C104" s="995"/>
      <c r="D104" s="995"/>
      <c r="E104" s="995"/>
      <c r="F104" s="1644"/>
      <c r="G104" s="1644"/>
      <c r="H104" s="359"/>
      <c r="N104" s="1649"/>
      <c r="O104" s="1649"/>
      <c r="P104" s="1649"/>
      <c r="Q104" s="1649"/>
      <c r="R104" s="1374"/>
      <c r="T104" s="1374"/>
      <c r="U104" s="1644"/>
      <c r="V104" s="1644"/>
      <c r="W104" s="1374"/>
      <c r="X104" s="1374"/>
      <c r="Y104" s="1374"/>
      <c r="Z104" s="1374"/>
      <c r="AA104" s="1644"/>
      <c r="AB104" s="1374"/>
      <c r="AC104" s="1374"/>
      <c r="AD104" s="552"/>
      <c r="AE104" s="1374"/>
      <c r="AF104" s="1374"/>
      <c r="AG104" s="1374"/>
      <c r="AH104" s="1374"/>
      <c r="AI104" s="1374"/>
      <c r="AJ104" s="1640"/>
      <c r="AK104" s="630"/>
      <c r="AL104" s="630"/>
      <c r="AM104" s="630"/>
      <c r="AN104" s="630"/>
      <c r="AO104" s="1649">
        <v>11</v>
      </c>
    </row>
    <row s="1649" customFormat="1" customHeight="1" ht="11.549999999999999">
      <c r="A105" s="995"/>
      <c r="B105" s="995"/>
      <c r="C105" s="995"/>
      <c r="D105" s="995"/>
      <c r="E105" s="995"/>
      <c r="F105" s="1644"/>
      <c r="G105" s="1644"/>
      <c r="H105" s="359"/>
      <c r="N105" s="1649"/>
      <c r="O105" s="1649"/>
      <c r="P105" s="1649"/>
      <c r="Q105" s="1649"/>
      <c r="R105" s="1374"/>
      <c r="T105" s="1374"/>
      <c r="U105" s="1644"/>
      <c r="V105" s="1644"/>
      <c r="W105" s="1374"/>
      <c r="X105" s="1374"/>
      <c r="Y105" s="1374"/>
      <c r="Z105" s="1374"/>
      <c r="AA105" s="1644"/>
      <c r="AB105" s="1374"/>
      <c r="AC105" s="1374"/>
      <c r="AD105" s="552"/>
      <c r="AE105" s="1374"/>
      <c r="AF105" s="1374"/>
      <c r="AG105" s="1374"/>
      <c r="AH105" s="1374"/>
      <c r="AI105" s="1374"/>
      <c r="AJ105" s="1640"/>
      <c r="AK105" s="630"/>
      <c r="AL105" s="630"/>
      <c r="AM105" s="630"/>
      <c r="AN105" s="630"/>
      <c r="AO105" s="1649">
        <v>11</v>
      </c>
    </row>
    <row s="1649" customFormat="1" customHeight="1" ht="11.549999999999999">
      <c r="A106" s="995"/>
      <c r="B106" s="995"/>
      <c r="C106" s="995"/>
      <c r="D106" s="995"/>
      <c r="E106" s="995"/>
      <c r="F106" s="1644"/>
      <c r="G106" s="1644"/>
      <c r="H106" s="359"/>
      <c r="N106" s="1649"/>
      <c r="O106" s="1649"/>
      <c r="P106" s="1649"/>
      <c r="Q106" s="1649"/>
      <c r="R106" s="1374"/>
      <c r="T106" s="1374"/>
      <c r="U106" s="1644"/>
      <c r="V106" s="1644"/>
      <c r="W106" s="1374"/>
      <c r="X106" s="1374"/>
      <c r="Y106" s="1374"/>
      <c r="Z106" s="1374"/>
      <c r="AA106" s="1644"/>
      <c r="AB106" s="1374"/>
      <c r="AC106" s="1374"/>
      <c r="AD106" s="552"/>
      <c r="AE106" s="1374"/>
      <c r="AF106" s="1374"/>
      <c r="AG106" s="1374"/>
      <c r="AH106" s="1374"/>
      <c r="AI106" s="1374"/>
      <c r="AJ106" s="1640"/>
      <c r="AK106" s="630"/>
      <c r="AL106" s="630"/>
      <c r="AM106" s="630"/>
      <c r="AN106" s="630"/>
      <c r="AO106" s="1649">
        <v>11</v>
      </c>
    </row>
    <row s="1649" customFormat="1" customHeight="1" ht="11.549999999999999">
      <c r="A107" s="995"/>
      <c r="B107" s="995"/>
      <c r="C107" s="995"/>
      <c r="D107" s="995"/>
      <c r="E107" s="995"/>
      <c r="F107" s="1644"/>
      <c r="G107" s="1644"/>
      <c r="H107" s="359"/>
      <c r="N107" s="1649"/>
      <c r="O107" s="1649"/>
      <c r="P107" s="1649"/>
      <c r="Q107" s="1649"/>
      <c r="R107" s="1374"/>
      <c r="T107" s="1374"/>
      <c r="U107" s="1644"/>
      <c r="V107" s="1644"/>
      <c r="W107" s="1374"/>
      <c r="X107" s="1374"/>
      <c r="Y107" s="1374"/>
      <c r="Z107" s="1374"/>
      <c r="AA107" s="1644"/>
      <c r="AB107" s="1374"/>
      <c r="AC107" s="1374"/>
      <c r="AD107" s="552"/>
      <c r="AE107" s="1374"/>
      <c r="AF107" s="1374"/>
      <c r="AG107" s="1374"/>
      <c r="AH107" s="1374"/>
      <c r="AI107" s="1374"/>
      <c r="AJ107" s="1640"/>
      <c r="AK107" s="630"/>
      <c r="AL107" s="630"/>
      <c r="AM107" s="630"/>
      <c r="AN107" s="630"/>
      <c r="AO107" s="1649">
        <v>11</v>
      </c>
    </row>
    <row s="1649" customFormat="1" customHeight="1" ht="11.549999999999999">
      <c r="A108" s="995"/>
      <c r="B108" s="995"/>
      <c r="C108" s="995"/>
      <c r="D108" s="995"/>
      <c r="E108" s="995"/>
      <c r="F108" s="1644"/>
      <c r="G108" s="1644"/>
      <c r="H108" s="359"/>
      <c r="N108" s="1649"/>
      <c r="O108" s="1649"/>
      <c r="P108" s="1649"/>
      <c r="Q108" s="1649"/>
      <c r="R108" s="1374"/>
      <c r="T108" s="1374"/>
      <c r="U108" s="1644"/>
      <c r="V108" s="1644"/>
      <c r="W108" s="1374"/>
      <c r="X108" s="1374"/>
      <c r="Y108" s="1374"/>
      <c r="Z108" s="1374"/>
      <c r="AA108" s="1644"/>
      <c r="AB108" s="1374"/>
      <c r="AC108" s="1374"/>
      <c r="AD108" s="552"/>
      <c r="AE108" s="1374"/>
      <c r="AF108" s="1374"/>
      <c r="AG108" s="1374"/>
      <c r="AH108" s="1374"/>
      <c r="AI108" s="1374"/>
      <c r="AJ108" s="1640"/>
      <c r="AK108" s="630"/>
      <c r="AL108" s="630"/>
      <c r="AM108" s="630"/>
      <c r="AN108" s="630"/>
      <c r="AO108" s="1649">
        <v>11</v>
      </c>
    </row>
    <row s="1649" customFormat="1" customHeight="1" ht="11.549999999999999">
      <c r="A109" s="995"/>
      <c r="B109" s="995"/>
      <c r="C109" s="995"/>
      <c r="D109" s="995"/>
      <c r="E109" s="995"/>
      <c r="F109" s="1644"/>
      <c r="G109" s="1644"/>
      <c r="H109" s="359"/>
      <c r="N109" s="1649"/>
      <c r="O109" s="1649"/>
      <c r="P109" s="1649"/>
      <c r="Q109" s="1649"/>
      <c r="R109" s="1374"/>
      <c r="T109" s="1374"/>
      <c r="U109" s="1644"/>
      <c r="V109" s="1644"/>
      <c r="W109" s="1374"/>
      <c r="X109" s="1374"/>
      <c r="Y109" s="1374"/>
      <c r="Z109" s="1374"/>
      <c r="AA109" s="1644"/>
      <c r="AB109" s="1374"/>
      <c r="AC109" s="1374"/>
      <c r="AD109" s="552"/>
      <c r="AE109" s="1374"/>
      <c r="AF109" s="1374"/>
      <c r="AG109" s="1374"/>
      <c r="AH109" s="1374"/>
      <c r="AI109" s="1374"/>
      <c r="AJ109" s="1640"/>
      <c r="AK109" s="630"/>
      <c r="AL109" s="630"/>
      <c r="AM109" s="630"/>
      <c r="AN109" s="630"/>
      <c r="AO109" s="1649">
        <v>11</v>
      </c>
    </row>
    <row s="1649" customFormat="1" customHeight="1" ht="11.549999999999999">
      <c r="A110" s="995"/>
      <c r="B110" s="995"/>
      <c r="C110" s="995"/>
      <c r="D110" s="995"/>
      <c r="E110" s="995"/>
      <c r="F110" s="1644"/>
      <c r="G110" s="1644"/>
      <c r="H110" s="359"/>
      <c r="N110" s="1649"/>
      <c r="O110" s="1649"/>
      <c r="P110" s="1649"/>
      <c r="Q110" s="1649"/>
      <c r="R110" s="1374"/>
      <c r="T110" s="1374"/>
      <c r="U110" s="1644"/>
      <c r="V110" s="1644"/>
      <c r="W110" s="1374"/>
      <c r="X110" s="1374"/>
      <c r="Y110" s="1374"/>
      <c r="Z110" s="1374"/>
      <c r="AA110" s="1644"/>
      <c r="AB110" s="1374"/>
      <c r="AC110" s="1374"/>
      <c r="AD110" s="552"/>
      <c r="AE110" s="1374"/>
      <c r="AF110" s="1374"/>
      <c r="AG110" s="1374"/>
      <c r="AH110" s="1374"/>
      <c r="AI110" s="1374"/>
      <c r="AJ110" s="1640"/>
      <c r="AK110" s="630"/>
      <c r="AL110" s="630"/>
      <c r="AM110" s="630"/>
      <c r="AN110" s="630"/>
      <c r="AO110" s="1649">
        <v>11</v>
      </c>
    </row>
    <row s="1649" customFormat="1" customHeight="1" ht="11.549999999999999">
      <c r="A111" s="995"/>
      <c r="B111" s="995"/>
      <c r="C111" s="995"/>
      <c r="D111" s="995"/>
      <c r="E111" s="995"/>
      <c r="F111" s="1644"/>
      <c r="G111" s="1644"/>
      <c r="H111" s="359"/>
      <c r="N111" s="1649"/>
      <c r="O111" s="1649"/>
      <c r="P111" s="1649"/>
      <c r="Q111" s="1649"/>
      <c r="R111" s="1374"/>
      <c r="T111" s="1374"/>
      <c r="U111" s="1644"/>
      <c r="V111" s="1644"/>
      <c r="W111" s="1374"/>
      <c r="X111" s="1374"/>
      <c r="Y111" s="1374"/>
      <c r="Z111" s="1374"/>
      <c r="AA111" s="1644"/>
      <c r="AB111" s="1374"/>
      <c r="AC111" s="1374"/>
      <c r="AD111" s="552"/>
      <c r="AE111" s="1374"/>
      <c r="AF111" s="1374"/>
      <c r="AG111" s="1374"/>
      <c r="AH111" s="1374"/>
      <c r="AI111" s="1374"/>
      <c r="AJ111" s="1640"/>
      <c r="AK111" s="630"/>
      <c r="AL111" s="630"/>
      <c r="AM111" s="630"/>
      <c r="AN111" s="630"/>
      <c r="AO111" s="1649">
        <v>11</v>
      </c>
    </row>
    <row s="1649" customFormat="1" customHeight="1" ht="11.549999999999999">
      <c r="A112" s="995"/>
      <c r="B112" s="995"/>
      <c r="C112" s="995"/>
      <c r="D112" s="995"/>
      <c r="E112" s="995"/>
      <c r="F112" s="1644"/>
      <c r="G112" s="1644"/>
      <c r="H112" s="359"/>
      <c r="N112" s="1649"/>
      <c r="O112" s="1649"/>
      <c r="P112" s="1649"/>
      <c r="Q112" s="1649"/>
      <c r="R112" s="1374"/>
      <c r="T112" s="1374"/>
      <c r="U112" s="1644"/>
      <c r="V112" s="1644"/>
      <c r="W112" s="1374"/>
      <c r="X112" s="1374"/>
      <c r="Y112" s="1374"/>
      <c r="Z112" s="1374"/>
      <c r="AA112" s="1644"/>
      <c r="AB112" s="1374"/>
      <c r="AC112" s="1374"/>
      <c r="AD112" s="552"/>
      <c r="AE112" s="1374"/>
      <c r="AF112" s="1374"/>
      <c r="AG112" s="1374"/>
      <c r="AH112" s="1374"/>
      <c r="AI112" s="1374"/>
      <c r="AJ112" s="1640"/>
      <c r="AK112" s="630"/>
      <c r="AL112" s="630"/>
      <c r="AM112" s="630"/>
      <c r="AN112" s="630"/>
      <c r="AO112" s="1649">
        <v>11</v>
      </c>
    </row>
    <row s="1649" customFormat="1" customHeight="1" ht="11.549999999999999">
      <c r="A113" s="995"/>
      <c r="B113" s="995"/>
      <c r="C113" s="995"/>
      <c r="D113" s="995"/>
      <c r="E113" s="995"/>
      <c r="F113" s="1644"/>
      <c r="G113" s="1644"/>
      <c r="H113" s="359"/>
      <c r="N113" s="1649"/>
      <c r="O113" s="1649"/>
      <c r="P113" s="1649"/>
      <c r="Q113" s="1649"/>
      <c r="R113" s="1374"/>
      <c r="T113" s="1374"/>
      <c r="U113" s="1644"/>
      <c r="V113" s="1644"/>
      <c r="W113" s="1374"/>
      <c r="X113" s="1374"/>
      <c r="Y113" s="1374"/>
      <c r="Z113" s="1374"/>
      <c r="AA113" s="1644"/>
      <c r="AB113" s="1374"/>
      <c r="AC113" s="1374"/>
      <c r="AD113" s="552"/>
      <c r="AE113" s="1374"/>
      <c r="AF113" s="1374"/>
      <c r="AG113" s="1374"/>
      <c r="AH113" s="1374"/>
      <c r="AI113" s="1374"/>
      <c r="AJ113" s="1640"/>
      <c r="AK113" s="630"/>
      <c r="AL113" s="630"/>
      <c r="AM113" s="630"/>
      <c r="AN113" s="630"/>
      <c r="AO113" s="1649">
        <v>11</v>
      </c>
    </row>
    <row s="1649" customFormat="1" customHeight="1" ht="11.549999999999999">
      <c r="A114" s="995"/>
      <c r="B114" s="995"/>
      <c r="C114" s="995"/>
      <c r="D114" s="995"/>
      <c r="E114" s="995"/>
      <c r="F114" s="1644"/>
      <c r="G114" s="1644"/>
      <c r="H114" s="359"/>
      <c r="N114" s="1649"/>
      <c r="O114" s="1649"/>
      <c r="P114" s="1649"/>
      <c r="Q114" s="1649"/>
      <c r="R114" s="1374"/>
      <c r="T114" s="1374"/>
      <c r="U114" s="1644"/>
      <c r="V114" s="1644"/>
      <c r="W114" s="1374"/>
      <c r="X114" s="1374"/>
      <c r="Y114" s="1374"/>
      <c r="Z114" s="1374"/>
      <c r="AA114" s="1644"/>
      <c r="AB114" s="1374"/>
      <c r="AC114" s="1374"/>
      <c r="AD114" s="552"/>
      <c r="AE114" s="1374"/>
      <c r="AF114" s="1374"/>
      <c r="AG114" s="1374"/>
      <c r="AH114" s="1374"/>
      <c r="AI114" s="1374"/>
      <c r="AJ114" s="1640"/>
      <c r="AK114" s="630"/>
      <c r="AL114" s="630"/>
      <c r="AM114" s="630"/>
      <c r="AN114" s="630"/>
      <c r="AO114" s="1649">
        <v>11</v>
      </c>
    </row>
    <row s="1649" customFormat="1" customHeight="1" ht="11.549999999999999">
      <c r="A115" s="995"/>
      <c r="B115" s="995"/>
      <c r="C115" s="995"/>
      <c r="D115" s="995"/>
      <c r="E115" s="995"/>
      <c r="F115" s="1644"/>
      <c r="G115" s="1644"/>
      <c r="H115" s="359"/>
      <c r="N115" s="1649"/>
      <c r="O115" s="1649"/>
      <c r="P115" s="1649"/>
      <c r="Q115" s="1649"/>
      <c r="R115" s="1374"/>
      <c r="T115" s="1374"/>
      <c r="U115" s="1644"/>
      <c r="V115" s="1644"/>
      <c r="W115" s="1374"/>
      <c r="X115" s="1374"/>
      <c r="Y115" s="1374"/>
      <c r="Z115" s="1374"/>
      <c r="AA115" s="1644"/>
      <c r="AB115" s="1374"/>
      <c r="AC115" s="1374"/>
      <c r="AD115" s="552"/>
      <c r="AE115" s="1374"/>
      <c r="AF115" s="1374"/>
      <c r="AG115" s="1374"/>
      <c r="AH115" s="1374"/>
      <c r="AI115" s="1374"/>
      <c r="AJ115" s="1640"/>
      <c r="AK115" s="630"/>
      <c r="AL115" s="630"/>
      <c r="AM115" s="630"/>
      <c r="AN115" s="630"/>
      <c r="AO115" s="1649">
        <v>11</v>
      </c>
    </row>
    <row s="1649" customFormat="1" customHeight="1" ht="11.549999999999999">
      <c r="A116" s="995"/>
      <c r="B116" s="995"/>
      <c r="C116" s="995"/>
      <c r="D116" s="995"/>
      <c r="E116" s="995"/>
      <c r="F116" s="1644"/>
      <c r="G116" s="1644"/>
      <c r="H116" s="359"/>
      <c r="N116" s="1649"/>
      <c r="O116" s="1649"/>
      <c r="P116" s="1649"/>
      <c r="Q116" s="1649"/>
      <c r="R116" s="1374"/>
      <c r="T116" s="1374"/>
      <c r="U116" s="1644"/>
      <c r="V116" s="1644"/>
      <c r="W116" s="1374"/>
      <c r="X116" s="1374"/>
      <c r="Y116" s="1374"/>
      <c r="Z116" s="1374"/>
      <c r="AA116" s="1644"/>
      <c r="AB116" s="1374"/>
      <c r="AC116" s="1374"/>
      <c r="AD116" s="552"/>
      <c r="AE116" s="1374"/>
      <c r="AF116" s="1374"/>
      <c r="AG116" s="1374"/>
      <c r="AH116" s="1374"/>
      <c r="AI116" s="1374"/>
      <c r="AJ116" s="1640"/>
      <c r="AK116" s="630"/>
      <c r="AL116" s="630"/>
      <c r="AM116" s="630"/>
      <c r="AN116" s="630"/>
      <c r="AO116" s="1649">
        <v>11</v>
      </c>
    </row>
    <row s="1649" customFormat="1" customHeight="1" ht="11.549999999999999">
      <c r="A117" s="995"/>
      <c r="B117" s="995"/>
      <c r="C117" s="995"/>
      <c r="D117" s="995"/>
      <c r="E117" s="995"/>
      <c r="F117" s="1644"/>
      <c r="G117" s="1644"/>
      <c r="H117" s="359"/>
      <c r="N117" s="1649"/>
      <c r="O117" s="1649"/>
      <c r="P117" s="1649"/>
      <c r="Q117" s="1649"/>
      <c r="R117" s="1374"/>
      <c r="T117" s="1374"/>
      <c r="U117" s="1644"/>
      <c r="V117" s="1644"/>
      <c r="W117" s="1374"/>
      <c r="X117" s="1374"/>
      <c r="Y117" s="1374"/>
      <c r="Z117" s="1374"/>
      <c r="AA117" s="1644"/>
      <c r="AB117" s="1374"/>
      <c r="AC117" s="1374"/>
      <c r="AD117" s="552"/>
      <c r="AE117" s="1374"/>
      <c r="AF117" s="1374"/>
      <c r="AG117" s="1374"/>
      <c r="AH117" s="1374"/>
      <c r="AI117" s="1374"/>
      <c r="AJ117" s="1640"/>
      <c r="AK117" s="630"/>
      <c r="AL117" s="630"/>
      <c r="AM117" s="630"/>
      <c r="AN117" s="630"/>
      <c r="AO117" s="1649">
        <v>11</v>
      </c>
    </row>
    <row s="1649" customFormat="1" customHeight="1" ht="11.549999999999999">
      <c r="A118" s="995"/>
      <c r="B118" s="995"/>
      <c r="C118" s="995"/>
      <c r="D118" s="995"/>
      <c r="E118" s="995"/>
      <c r="F118" s="1644"/>
      <c r="G118" s="1644"/>
      <c r="H118" s="359"/>
      <c r="N118" s="1649"/>
      <c r="O118" s="1649"/>
      <c r="P118" s="1649"/>
      <c r="Q118" s="1649"/>
      <c r="R118" s="1374"/>
      <c r="T118" s="1374"/>
      <c r="U118" s="1644"/>
      <c r="V118" s="1644"/>
      <c r="W118" s="1374"/>
      <c r="X118" s="1374"/>
      <c r="Y118" s="1374"/>
      <c r="Z118" s="1374"/>
      <c r="AA118" s="1644"/>
      <c r="AB118" s="1374"/>
      <c r="AC118" s="1374"/>
      <c r="AD118" s="552"/>
      <c r="AE118" s="1374"/>
      <c r="AF118" s="1374"/>
      <c r="AG118" s="1374"/>
      <c r="AH118" s="1374"/>
      <c r="AI118" s="1374"/>
      <c r="AJ118" s="1640"/>
      <c r="AK118" s="630"/>
      <c r="AL118" s="630"/>
      <c r="AM118" s="630"/>
      <c r="AN118" s="630"/>
      <c r="AO118" s="1649">
        <v>11</v>
      </c>
    </row>
    <row s="1649" customFormat="1" customHeight="1" ht="11.549999999999999">
      <c r="A119" s="995"/>
      <c r="B119" s="995"/>
      <c r="C119" s="995"/>
      <c r="D119" s="995"/>
      <c r="E119" s="995"/>
      <c r="F119" s="1644"/>
      <c r="G119" s="1644"/>
      <c r="H119" s="359"/>
      <c r="N119" s="1649"/>
      <c r="O119" s="1649"/>
      <c r="P119" s="1649"/>
      <c r="Q119" s="1649"/>
      <c r="R119" s="1374"/>
      <c r="T119" s="1374"/>
      <c r="U119" s="1644"/>
      <c r="V119" s="1644"/>
      <c r="W119" s="1374"/>
      <c r="X119" s="1374"/>
      <c r="Y119" s="1374"/>
      <c r="Z119" s="1374"/>
      <c r="AA119" s="1644"/>
      <c r="AB119" s="1374"/>
      <c r="AC119" s="1374"/>
      <c r="AD119" s="552"/>
      <c r="AE119" s="1374"/>
      <c r="AF119" s="1374"/>
      <c r="AG119" s="1374"/>
      <c r="AH119" s="1374"/>
      <c r="AI119" s="1374"/>
      <c r="AJ119" s="1640"/>
      <c r="AK119" s="630"/>
      <c r="AL119" s="630"/>
      <c r="AM119" s="630"/>
      <c r="AN119" s="630"/>
      <c r="AO119" s="1649">
        <v>11</v>
      </c>
    </row>
    <row s="1649" customFormat="1" customHeight="1" ht="11.549999999999999">
      <c r="A120" s="995"/>
      <c r="B120" s="995"/>
      <c r="C120" s="995"/>
      <c r="D120" s="995"/>
      <c r="E120" s="995"/>
      <c r="F120" s="1644"/>
      <c r="G120" s="1644"/>
      <c r="H120" s="359"/>
      <c r="N120" s="1649"/>
      <c r="O120" s="1649"/>
      <c r="P120" s="1649"/>
      <c r="Q120" s="1649"/>
      <c r="R120" s="1374"/>
      <c r="T120" s="1374"/>
      <c r="U120" s="1644"/>
      <c r="V120" s="1644"/>
      <c r="W120" s="1374"/>
      <c r="X120" s="1374"/>
      <c r="Y120" s="1374"/>
      <c r="Z120" s="1374"/>
      <c r="AA120" s="1644"/>
      <c r="AB120" s="1374"/>
      <c r="AC120" s="1374"/>
      <c r="AD120" s="552"/>
      <c r="AE120" s="1374"/>
      <c r="AF120" s="1374"/>
      <c r="AG120" s="1374"/>
      <c r="AH120" s="1374"/>
      <c r="AI120" s="1374"/>
      <c r="AJ120" s="1640"/>
      <c r="AK120" s="630"/>
      <c r="AL120" s="630"/>
      <c r="AM120" s="630"/>
      <c r="AN120" s="630"/>
      <c r="AO120" s="1649">
        <v>11</v>
      </c>
    </row>
    <row s="1649" customFormat="1" customHeight="1" ht="11.549999999999999">
      <c r="A121" s="995"/>
      <c r="B121" s="995"/>
      <c r="C121" s="995"/>
      <c r="D121" s="995"/>
      <c r="E121" s="995"/>
      <c r="F121" s="1644"/>
      <c r="G121" s="1644"/>
      <c r="H121" s="359"/>
      <c r="N121" s="1649"/>
      <c r="O121" s="1649"/>
      <c r="P121" s="1649"/>
      <c r="Q121" s="1649"/>
      <c r="R121" s="1374"/>
      <c r="T121" s="1374"/>
      <c r="U121" s="1644"/>
      <c r="V121" s="1644"/>
      <c r="W121" s="1374"/>
      <c r="X121" s="1374"/>
      <c r="Y121" s="1374"/>
      <c r="Z121" s="1374"/>
      <c r="AA121" s="1644"/>
      <c r="AB121" s="1374"/>
      <c r="AC121" s="1374"/>
      <c r="AD121" s="552"/>
      <c r="AE121" s="1374"/>
      <c r="AF121" s="1374"/>
      <c r="AG121" s="1374"/>
      <c r="AH121" s="1374"/>
      <c r="AI121" s="1374"/>
      <c r="AJ121" s="1640"/>
      <c r="AK121" s="630"/>
      <c r="AL121" s="630"/>
      <c r="AM121" s="630"/>
      <c r="AN121" s="630"/>
      <c r="AO121" s="1649">
        <v>11</v>
      </c>
    </row>
    <row s="1649" customFormat="1" customHeight="1" ht="11.549999999999999">
      <c r="A122" s="995"/>
      <c r="B122" s="995"/>
      <c r="C122" s="995"/>
      <c r="D122" s="995"/>
      <c r="E122" s="995"/>
      <c r="F122" s="1644"/>
      <c r="G122" s="1644"/>
      <c r="H122" s="359"/>
      <c r="N122" s="1649"/>
      <c r="O122" s="1649"/>
      <c r="P122" s="1649"/>
      <c r="Q122" s="1649"/>
      <c r="R122" s="1374"/>
      <c r="T122" s="1374"/>
      <c r="U122" s="1644"/>
      <c r="V122" s="1644"/>
      <c r="W122" s="1374"/>
      <c r="X122" s="1374"/>
      <c r="Y122" s="1374"/>
      <c r="Z122" s="1374"/>
      <c r="AA122" s="1644"/>
      <c r="AB122" s="1374"/>
      <c r="AC122" s="1374"/>
      <c r="AD122" s="552"/>
      <c r="AE122" s="1374"/>
      <c r="AF122" s="1374"/>
      <c r="AG122" s="1374"/>
      <c r="AH122" s="1374"/>
      <c r="AI122" s="1374"/>
      <c r="AJ122" s="1640"/>
      <c r="AK122" s="630"/>
      <c r="AL122" s="630"/>
      <c r="AM122" s="630"/>
      <c r="AN122" s="630"/>
      <c r="AO122" s="1649">
        <v>11</v>
      </c>
    </row>
    <row s="1649" customFormat="1" customHeight="1" ht="11.549999999999999">
      <c r="A123" s="995"/>
      <c r="B123" s="995"/>
      <c r="C123" s="995"/>
      <c r="D123" s="995"/>
      <c r="E123" s="995"/>
      <c r="F123" s="1644"/>
      <c r="G123" s="1644"/>
      <c r="H123" s="359"/>
      <c r="N123" s="1649"/>
      <c r="O123" s="1649"/>
      <c r="P123" s="1649"/>
      <c r="Q123" s="1649"/>
      <c r="R123" s="1374"/>
      <c r="T123" s="1374"/>
      <c r="U123" s="1644"/>
      <c r="V123" s="1644"/>
      <c r="W123" s="1374"/>
      <c r="X123" s="1374"/>
      <c r="Y123" s="1374"/>
      <c r="Z123" s="1374"/>
      <c r="AA123" s="1644"/>
      <c r="AB123" s="1374"/>
      <c r="AC123" s="1374"/>
      <c r="AD123" s="552"/>
      <c r="AE123" s="1374"/>
      <c r="AF123" s="1374"/>
      <c r="AG123" s="1374"/>
      <c r="AH123" s="1374"/>
      <c r="AI123" s="1374"/>
      <c r="AJ123" s="1640"/>
      <c r="AK123" s="630"/>
      <c r="AL123" s="630"/>
      <c r="AM123" s="630"/>
      <c r="AN123" s="630"/>
      <c r="AO123" s="1649">
        <v>11</v>
      </c>
    </row>
    <row s="1649" customFormat="1" customHeight="1" ht="11.549999999999999">
      <c r="A124" s="995"/>
      <c r="B124" s="995"/>
      <c r="C124" s="995"/>
      <c r="D124" s="995"/>
      <c r="E124" s="995"/>
      <c r="F124" s="1644"/>
      <c r="G124" s="1644"/>
      <c r="H124" s="359"/>
      <c r="N124" s="1649"/>
      <c r="O124" s="1649"/>
      <c r="P124" s="1649"/>
      <c r="Q124" s="1649"/>
      <c r="R124" s="1374"/>
      <c r="T124" s="1374"/>
      <c r="U124" s="1644"/>
      <c r="V124" s="1644"/>
      <c r="W124" s="1374"/>
      <c r="X124" s="1374"/>
      <c r="Y124" s="1374"/>
      <c r="Z124" s="1374"/>
      <c r="AA124" s="1644"/>
      <c r="AB124" s="1374"/>
      <c r="AC124" s="1374"/>
      <c r="AD124" s="552"/>
      <c r="AE124" s="1374"/>
      <c r="AF124" s="1374"/>
      <c r="AG124" s="1374"/>
      <c r="AH124" s="1374"/>
      <c r="AI124" s="1374"/>
      <c r="AJ124" s="1640"/>
      <c r="AK124" s="630"/>
      <c r="AL124" s="630"/>
      <c r="AM124" s="630"/>
      <c r="AN124" s="630"/>
      <c r="AO124" s="1649">
        <v>11</v>
      </c>
    </row>
    <row s="1649" customFormat="1" customHeight="1" ht="11.549999999999999">
      <c r="A125" s="995"/>
      <c r="B125" s="995"/>
      <c r="C125" s="995"/>
      <c r="D125" s="995"/>
      <c r="E125" s="995"/>
      <c r="F125" s="1644"/>
      <c r="G125" s="1644"/>
      <c r="H125" s="359"/>
      <c r="N125" s="1649"/>
      <c r="O125" s="1649"/>
      <c r="P125" s="1649"/>
      <c r="Q125" s="1649"/>
      <c r="R125" s="1374"/>
      <c r="T125" s="1374"/>
      <c r="U125" s="1644"/>
      <c r="V125" s="1644"/>
      <c r="W125" s="1374"/>
      <c r="X125" s="1374"/>
      <c r="Y125" s="1374"/>
      <c r="Z125" s="1374"/>
      <c r="AA125" s="1644"/>
      <c r="AB125" s="1374"/>
      <c r="AC125" s="1374"/>
      <c r="AD125" s="552"/>
      <c r="AE125" s="1374"/>
      <c r="AF125" s="1374"/>
      <c r="AG125" s="1374"/>
      <c r="AH125" s="1374"/>
      <c r="AI125" s="1374"/>
      <c r="AJ125" s="1640"/>
      <c r="AK125" s="630"/>
      <c r="AL125" s="630"/>
      <c r="AM125" s="630"/>
      <c r="AN125" s="630"/>
      <c r="AO125" s="1649">
        <v>11</v>
      </c>
    </row>
    <row s="1649" customFormat="1" customHeight="1" ht="11.549999999999999">
      <c r="A126" s="995"/>
      <c r="B126" s="995"/>
      <c r="C126" s="995"/>
      <c r="D126" s="995"/>
      <c r="E126" s="995"/>
      <c r="F126" s="1644"/>
      <c r="G126" s="1644"/>
      <c r="H126" s="359"/>
      <c r="N126" s="1649"/>
      <c r="O126" s="1649"/>
      <c r="P126" s="1649"/>
      <c r="Q126" s="1649"/>
      <c r="R126" s="1374"/>
      <c r="T126" s="1374"/>
      <c r="U126" s="1644"/>
      <c r="V126" s="1644"/>
      <c r="W126" s="1374"/>
      <c r="X126" s="1374"/>
      <c r="Y126" s="1374"/>
      <c r="Z126" s="1374"/>
      <c r="AA126" s="1644"/>
      <c r="AB126" s="1374"/>
      <c r="AC126" s="1374"/>
      <c r="AD126" s="552"/>
      <c r="AE126" s="1374"/>
      <c r="AF126" s="1374"/>
      <c r="AG126" s="1374"/>
      <c r="AH126" s="1374"/>
      <c r="AI126" s="1374"/>
      <c r="AJ126" s="1640"/>
      <c r="AK126" s="630"/>
      <c r="AL126" s="630"/>
      <c r="AM126" s="630"/>
      <c r="AN126" s="630"/>
      <c r="AO126" s="1649">
        <v>11</v>
      </c>
    </row>
    <row s="1649" customFormat="1" customHeight="1" ht="11.549999999999999">
      <c r="A127" s="995"/>
      <c r="B127" s="995"/>
      <c r="C127" s="995"/>
      <c r="D127" s="995"/>
      <c r="E127" s="995"/>
      <c r="F127" s="1644"/>
      <c r="G127" s="1644"/>
      <c r="H127" s="359"/>
      <c r="N127" s="1649"/>
      <c r="O127" s="1649"/>
      <c r="P127" s="1649"/>
      <c r="Q127" s="1649"/>
      <c r="R127" s="1374"/>
      <c r="T127" s="1374"/>
      <c r="U127" s="1644"/>
      <c r="V127" s="1644"/>
      <c r="W127" s="1374"/>
      <c r="X127" s="1374"/>
      <c r="Y127" s="1374"/>
      <c r="Z127" s="1374"/>
      <c r="AA127" s="1644"/>
      <c r="AB127" s="1374"/>
      <c r="AC127" s="1374"/>
      <c r="AD127" s="552"/>
      <c r="AE127" s="1374"/>
      <c r="AF127" s="1374"/>
      <c r="AG127" s="1374"/>
      <c r="AH127" s="1374"/>
      <c r="AI127" s="1374"/>
      <c r="AJ127" s="1640"/>
      <c r="AK127" s="630"/>
      <c r="AL127" s="630"/>
      <c r="AM127" s="630"/>
      <c r="AN127" s="630"/>
      <c r="AO127" s="1649">
        <v>11</v>
      </c>
    </row>
    <row s="1649" customFormat="1" customHeight="1" ht="11.549999999999999">
      <c r="A128" s="995"/>
      <c r="B128" s="995"/>
      <c r="C128" s="995"/>
      <c r="D128" s="995"/>
      <c r="E128" s="995"/>
      <c r="F128" s="1644"/>
      <c r="G128" s="1644"/>
      <c r="H128" s="359"/>
      <c r="N128" s="1649"/>
      <c r="O128" s="1649"/>
      <c r="P128" s="1649"/>
      <c r="Q128" s="1649"/>
      <c r="R128" s="1374"/>
      <c r="T128" s="1374"/>
      <c r="U128" s="1644"/>
      <c r="V128" s="1644"/>
      <c r="W128" s="1374"/>
      <c r="X128" s="1374"/>
      <c r="Y128" s="1374"/>
      <c r="Z128" s="1374"/>
      <c r="AA128" s="1644"/>
      <c r="AB128" s="1374"/>
      <c r="AC128" s="1374"/>
      <c r="AD128" s="552"/>
      <c r="AE128" s="1374"/>
      <c r="AF128" s="1374"/>
      <c r="AG128" s="1374"/>
      <c r="AH128" s="1374"/>
      <c r="AI128" s="1374"/>
      <c r="AJ128" s="1640"/>
      <c r="AK128" s="630"/>
      <c r="AL128" s="630"/>
      <c r="AM128" s="630"/>
      <c r="AN128" s="630"/>
      <c r="AO128" s="1649">
        <v>11</v>
      </c>
    </row>
    <row s="1649" customFormat="1" customHeight="1" ht="11.549999999999999">
      <c r="A129" s="995"/>
      <c r="B129" s="995"/>
      <c r="C129" s="995"/>
      <c r="D129" s="995"/>
      <c r="E129" s="995"/>
      <c r="F129" s="1644"/>
      <c r="G129" s="1644"/>
      <c r="H129" s="359"/>
      <c r="N129" s="1649"/>
      <c r="O129" s="1649"/>
      <c r="P129" s="1649"/>
      <c r="Q129" s="1649"/>
      <c r="R129" s="1374"/>
      <c r="T129" s="1374"/>
      <c r="U129" s="1644"/>
      <c r="V129" s="1644"/>
      <c r="W129" s="1374"/>
      <c r="X129" s="1374"/>
      <c r="Y129" s="1374"/>
      <c r="Z129" s="1374"/>
      <c r="AA129" s="1644"/>
      <c r="AB129" s="1374"/>
      <c r="AC129" s="1374"/>
      <c r="AD129" s="552"/>
      <c r="AE129" s="1374"/>
      <c r="AF129" s="1374"/>
      <c r="AG129" s="1374"/>
      <c r="AH129" s="1374"/>
      <c r="AI129" s="1374"/>
      <c r="AJ129" s="1640"/>
      <c r="AK129" s="630"/>
      <c r="AL129" s="630"/>
      <c r="AM129" s="630"/>
      <c r="AN129" s="630"/>
      <c r="AO129" s="1649">
        <v>11</v>
      </c>
    </row>
    <row s="1649" customFormat="1" customHeight="1" ht="11.549999999999999">
      <c r="A130" s="995"/>
      <c r="B130" s="995"/>
      <c r="C130" s="995"/>
      <c r="D130" s="995"/>
      <c r="E130" s="995"/>
      <c r="F130" s="1644"/>
      <c r="G130" s="1644"/>
      <c r="H130" s="359"/>
      <c r="N130" s="1649"/>
      <c r="O130" s="1649"/>
      <c r="P130" s="1649"/>
      <c r="Q130" s="1649"/>
      <c r="R130" s="1374"/>
      <c r="T130" s="1374"/>
      <c r="U130" s="1644"/>
      <c r="V130" s="1644"/>
      <c r="W130" s="1374"/>
      <c r="X130" s="1374"/>
      <c r="Y130" s="1374"/>
      <c r="Z130" s="1374"/>
      <c r="AA130" s="1644"/>
      <c r="AB130" s="1374"/>
      <c r="AC130" s="1374"/>
      <c r="AD130" s="552"/>
      <c r="AE130" s="1374"/>
      <c r="AF130" s="1374"/>
      <c r="AG130" s="1374"/>
      <c r="AH130" s="1374"/>
      <c r="AI130" s="1374"/>
      <c r="AJ130" s="1640"/>
      <c r="AK130" s="630"/>
      <c r="AL130" s="630"/>
      <c r="AM130" s="630"/>
      <c r="AN130" s="630"/>
      <c r="AO130" s="1649">
        <v>11</v>
      </c>
    </row>
    <row s="1649" customFormat="1" customHeight="1" ht="11.549999999999999">
      <c r="A131" s="995"/>
      <c r="B131" s="995"/>
      <c r="C131" s="995"/>
      <c r="D131" s="995"/>
      <c r="E131" s="995"/>
      <c r="F131" s="1644"/>
      <c r="G131" s="1644"/>
      <c r="H131" s="359"/>
      <c r="N131" s="1649"/>
      <c r="O131" s="1649"/>
      <c r="P131" s="1649"/>
      <c r="Q131" s="1649"/>
      <c r="R131" s="1374"/>
      <c r="T131" s="1374"/>
      <c r="U131" s="1644"/>
      <c r="V131" s="1644"/>
      <c r="W131" s="1374"/>
      <c r="X131" s="1374"/>
      <c r="Y131" s="1374"/>
      <c r="Z131" s="1374"/>
      <c r="AA131" s="1644"/>
      <c r="AB131" s="1374"/>
      <c r="AC131" s="1374"/>
      <c r="AD131" s="552"/>
      <c r="AE131" s="1374"/>
      <c r="AF131" s="1374"/>
      <c r="AG131" s="1374"/>
      <c r="AH131" s="1374"/>
      <c r="AI131" s="1374"/>
      <c r="AJ131" s="1640"/>
      <c r="AK131" s="630"/>
      <c r="AL131" s="630"/>
      <c r="AM131" s="630"/>
      <c r="AN131" s="630"/>
      <c r="AO131" s="1649">
        <v>11</v>
      </c>
    </row>
    <row s="1649" customFormat="1" customHeight="1" ht="11.549999999999999">
      <c r="A132" s="995"/>
      <c r="B132" s="995"/>
      <c r="C132" s="995"/>
      <c r="D132" s="995"/>
      <c r="E132" s="995"/>
      <c r="F132" s="1644"/>
      <c r="G132" s="1644"/>
      <c r="H132" s="359"/>
      <c r="N132" s="1649"/>
      <c r="O132" s="1649"/>
      <c r="P132" s="1649"/>
      <c r="Q132" s="1649"/>
      <c r="R132" s="1374"/>
      <c r="T132" s="1374"/>
      <c r="U132" s="1644"/>
      <c r="V132" s="1644"/>
      <c r="W132" s="1374"/>
      <c r="X132" s="1374"/>
      <c r="Y132" s="1374"/>
      <c r="Z132" s="1374"/>
      <c r="AA132" s="1644"/>
      <c r="AB132" s="1374"/>
      <c r="AC132" s="1374"/>
      <c r="AD132" s="552"/>
      <c r="AE132" s="1374"/>
      <c r="AF132" s="1374"/>
      <c r="AG132" s="1374"/>
      <c r="AH132" s="1374"/>
      <c r="AI132" s="1374"/>
      <c r="AJ132" s="1640"/>
      <c r="AK132" s="630"/>
      <c r="AL132" s="630"/>
      <c r="AM132" s="630"/>
      <c r="AN132" s="630"/>
      <c r="AO132" s="1649">
        <v>11</v>
      </c>
    </row>
    <row s="1649" customFormat="1" customHeight="1" ht="11.549999999999999">
      <c r="A133" s="995"/>
      <c r="B133" s="995"/>
      <c r="C133" s="995"/>
      <c r="D133" s="995"/>
      <c r="E133" s="995"/>
      <c r="F133" s="1644"/>
      <c r="G133" s="1644"/>
      <c r="H133" s="359"/>
      <c r="N133" s="1649"/>
      <c r="O133" s="1649"/>
      <c r="P133" s="1649"/>
      <c r="Q133" s="1649"/>
      <c r="R133" s="1374"/>
      <c r="T133" s="1374"/>
      <c r="U133" s="1644"/>
      <c r="V133" s="1644"/>
      <c r="W133" s="1374"/>
      <c r="X133" s="1374"/>
      <c r="Y133" s="1374"/>
      <c r="Z133" s="1374"/>
      <c r="AA133" s="1644"/>
      <c r="AB133" s="1374"/>
      <c r="AC133" s="1374"/>
      <c r="AD133" s="552"/>
      <c r="AE133" s="1374"/>
      <c r="AF133" s="1374"/>
      <c r="AG133" s="1374"/>
      <c r="AH133" s="1374"/>
      <c r="AI133" s="1374"/>
      <c r="AJ133" s="1640"/>
      <c r="AK133" s="630"/>
      <c r="AL133" s="630"/>
      <c r="AM133" s="630"/>
      <c r="AN133" s="630"/>
      <c r="AO133" s="1649">
        <v>11</v>
      </c>
    </row>
    <row s="1649" customFormat="1" customHeight="1" ht="11.549999999999999">
      <c r="A134" s="995"/>
      <c r="B134" s="995"/>
      <c r="C134" s="995"/>
      <c r="D134" s="995"/>
      <c r="E134" s="995"/>
      <c r="F134" s="1644"/>
      <c r="G134" s="1644"/>
      <c r="H134" s="359"/>
      <c r="N134" s="1649"/>
      <c r="O134" s="1649"/>
      <c r="P134" s="1649"/>
      <c r="Q134" s="1649"/>
      <c r="R134" s="1374"/>
      <c r="T134" s="1374"/>
      <c r="U134" s="1644"/>
      <c r="V134" s="1644"/>
      <c r="W134" s="1374"/>
      <c r="X134" s="1374"/>
      <c r="Y134" s="1374"/>
      <c r="Z134" s="1374"/>
      <c r="AA134" s="1644"/>
      <c r="AB134" s="1374"/>
      <c r="AC134" s="1374"/>
      <c r="AD134" s="552"/>
      <c r="AE134" s="1374"/>
      <c r="AF134" s="1374"/>
      <c r="AG134" s="1374"/>
      <c r="AH134" s="1374"/>
      <c r="AI134" s="1374"/>
      <c r="AJ134" s="1640"/>
      <c r="AK134" s="630"/>
      <c r="AL134" s="630"/>
      <c r="AM134" s="630"/>
      <c r="AN134" s="630"/>
      <c r="AO134" s="1649">
        <v>11</v>
      </c>
    </row>
    <row s="1649" customFormat="1" customHeight="1" ht="11.549999999999999">
      <c r="A135" s="995"/>
      <c r="B135" s="995"/>
      <c r="C135" s="995"/>
      <c r="D135" s="995"/>
      <c r="E135" s="995"/>
      <c r="F135" s="1644"/>
      <c r="G135" s="1644"/>
      <c r="H135" s="359"/>
      <c r="N135" s="1649"/>
      <c r="O135" s="1649"/>
      <c r="P135" s="1649"/>
      <c r="Q135" s="1649"/>
      <c r="R135" s="1374"/>
      <c r="T135" s="1374"/>
      <c r="U135" s="1644"/>
      <c r="V135" s="1644"/>
      <c r="W135" s="1374"/>
      <c r="X135" s="1374"/>
      <c r="Y135" s="1374"/>
      <c r="Z135" s="1374"/>
      <c r="AA135" s="1644"/>
      <c r="AB135" s="1374"/>
      <c r="AC135" s="1374"/>
      <c r="AD135" s="552"/>
      <c r="AE135" s="1374"/>
      <c r="AF135" s="1374"/>
      <c r="AG135" s="1374"/>
      <c r="AH135" s="1374"/>
      <c r="AI135" s="1374"/>
      <c r="AJ135" s="1640"/>
      <c r="AK135" s="630"/>
      <c r="AL135" s="630"/>
      <c r="AM135" s="630"/>
      <c r="AN135" s="630"/>
      <c r="AO135" s="1649">
        <v>11</v>
      </c>
    </row>
    <row s="1649" customFormat="1" customHeight="1" ht="11.549999999999999">
      <c r="A136" s="995"/>
      <c r="B136" s="995"/>
      <c r="C136" s="995"/>
      <c r="D136" s="995"/>
      <c r="E136" s="995"/>
      <c r="F136" s="1644"/>
      <c r="G136" s="1644"/>
      <c r="H136" s="359"/>
      <c r="N136" s="1649"/>
      <c r="O136" s="1649"/>
      <c r="P136" s="1649"/>
      <c r="Q136" s="1649"/>
      <c r="R136" s="1374"/>
      <c r="T136" s="1374"/>
      <c r="U136" s="1644"/>
      <c r="V136" s="1644"/>
      <c r="W136" s="1374"/>
      <c r="X136" s="1374"/>
      <c r="Y136" s="1374"/>
      <c r="Z136" s="1374"/>
      <c r="AA136" s="1644"/>
      <c r="AB136" s="1374"/>
      <c r="AC136" s="1374"/>
      <c r="AD136" s="552"/>
      <c r="AE136" s="1374"/>
      <c r="AF136" s="1374"/>
      <c r="AG136" s="1374"/>
      <c r="AH136" s="1374"/>
      <c r="AI136" s="1374"/>
      <c r="AJ136" s="1640"/>
      <c r="AK136" s="630"/>
      <c r="AL136" s="630"/>
      <c r="AM136" s="630"/>
      <c r="AN136" s="630"/>
      <c r="AO136" s="1649">
        <v>11</v>
      </c>
    </row>
    <row s="1649" customFormat="1" customHeight="1" ht="11.549999999999999">
      <c r="A137" s="995"/>
      <c r="B137" s="995"/>
      <c r="C137" s="995"/>
      <c r="D137" s="995"/>
      <c r="E137" s="995"/>
      <c r="F137" s="1644"/>
      <c r="G137" s="1644"/>
      <c r="H137" s="359"/>
      <c r="N137" s="1649"/>
      <c r="O137" s="1649"/>
      <c r="P137" s="1649"/>
      <c r="Q137" s="1649"/>
      <c r="R137" s="1374"/>
      <c r="T137" s="1374"/>
      <c r="U137" s="1644"/>
      <c r="V137" s="1644"/>
      <c r="W137" s="1374"/>
      <c r="X137" s="1374"/>
      <c r="Y137" s="1374"/>
      <c r="Z137" s="1374"/>
      <c r="AA137" s="1644"/>
      <c r="AB137" s="1374"/>
      <c r="AC137" s="1374"/>
      <c r="AD137" s="552"/>
      <c r="AE137" s="1374"/>
      <c r="AF137" s="1374"/>
      <c r="AG137" s="1374"/>
      <c r="AH137" s="1374"/>
      <c r="AI137" s="1374"/>
      <c r="AJ137" s="1640"/>
      <c r="AK137" s="630"/>
      <c r="AL137" s="630"/>
      <c r="AM137" s="630"/>
      <c r="AN137" s="630"/>
      <c r="AO137" s="1649">
        <v>11</v>
      </c>
    </row>
    <row s="1649" customFormat="1" customHeight="1" ht="11.549999999999999">
      <c r="A138" s="995"/>
      <c r="B138" s="995"/>
      <c r="C138" s="995"/>
      <c r="D138" s="995"/>
      <c r="E138" s="995"/>
      <c r="F138" s="1644"/>
      <c r="G138" s="1644"/>
      <c r="H138" s="359"/>
      <c r="N138" s="1649"/>
      <c r="O138" s="1649"/>
      <c r="P138" s="1649"/>
      <c r="Q138" s="1649"/>
      <c r="R138" s="1374"/>
      <c r="T138" s="1374"/>
      <c r="U138" s="1644"/>
      <c r="V138" s="1644"/>
      <c r="W138" s="1374"/>
      <c r="X138" s="1374"/>
      <c r="Y138" s="1374"/>
      <c r="Z138" s="1374"/>
      <c r="AA138" s="1644"/>
      <c r="AB138" s="1374"/>
      <c r="AC138" s="1374"/>
      <c r="AD138" s="552"/>
      <c r="AE138" s="1374"/>
      <c r="AF138" s="1374"/>
      <c r="AG138" s="1374"/>
      <c r="AH138" s="1374"/>
      <c r="AI138" s="1374"/>
      <c r="AJ138" s="1640"/>
      <c r="AK138" s="630"/>
      <c r="AL138" s="630"/>
      <c r="AM138" s="630"/>
      <c r="AN138" s="630"/>
      <c r="AO138" s="1649">
        <v>11</v>
      </c>
    </row>
    <row s="1649" customFormat="1" customHeight="1" ht="11.549999999999999">
      <c r="A139" s="995"/>
      <c r="B139" s="995"/>
      <c r="C139" s="995"/>
      <c r="D139" s="995"/>
      <c r="E139" s="995"/>
      <c r="F139" s="1644"/>
      <c r="G139" s="1644"/>
      <c r="H139" s="359"/>
      <c r="N139" s="1649"/>
      <c r="O139" s="1649"/>
      <c r="P139" s="1649"/>
      <c r="Q139" s="1649"/>
      <c r="R139" s="1374"/>
      <c r="T139" s="1374"/>
      <c r="U139" s="1644"/>
      <c r="V139" s="1644"/>
      <c r="W139" s="1374"/>
      <c r="X139" s="1374"/>
      <c r="Y139" s="1374"/>
      <c r="Z139" s="1374"/>
      <c r="AA139" s="1644"/>
      <c r="AB139" s="1374"/>
      <c r="AC139" s="1374"/>
      <c r="AD139" s="552"/>
      <c r="AE139" s="1374"/>
      <c r="AF139" s="1374"/>
      <c r="AG139" s="1374"/>
      <c r="AH139" s="1374"/>
      <c r="AI139" s="1374"/>
      <c r="AJ139" s="1640"/>
      <c r="AK139" s="630"/>
      <c r="AL139" s="630"/>
      <c r="AM139" s="630"/>
      <c r="AN139" s="630"/>
      <c r="AO139" s="1649">
        <v>11</v>
      </c>
    </row>
    <row s="1649" customFormat="1" customHeight="1" ht="11.549999999999999">
      <c r="A140" s="995"/>
      <c r="B140" s="995"/>
      <c r="C140" s="995"/>
      <c r="D140" s="995"/>
      <c r="E140" s="995"/>
      <c r="F140" s="1644"/>
      <c r="G140" s="1644"/>
      <c r="H140" s="359"/>
      <c r="N140" s="1649"/>
      <c r="O140" s="1649"/>
      <c r="P140" s="1649"/>
      <c r="Q140" s="1649"/>
      <c r="R140" s="1374"/>
      <c r="T140" s="1374"/>
      <c r="U140" s="1644"/>
      <c r="V140" s="1644"/>
      <c r="W140" s="1374"/>
      <c r="X140" s="1374"/>
      <c r="Y140" s="1374"/>
      <c r="Z140" s="1374"/>
      <c r="AA140" s="1644"/>
      <c r="AB140" s="1374"/>
      <c r="AC140" s="1374"/>
      <c r="AD140" s="552"/>
      <c r="AE140" s="1374"/>
      <c r="AF140" s="1374"/>
      <c r="AG140" s="1374"/>
      <c r="AH140" s="1374"/>
      <c r="AI140" s="1374"/>
      <c r="AJ140" s="1640"/>
      <c r="AK140" s="630"/>
      <c r="AL140" s="630"/>
      <c r="AM140" s="630"/>
      <c r="AN140" s="630"/>
      <c r="AO140" s="1649">
        <v>11</v>
      </c>
    </row>
    <row s="1649" customFormat="1" customHeight="1" ht="11.549999999999999">
      <c r="A141" s="995"/>
      <c r="B141" s="995"/>
      <c r="C141" s="995"/>
      <c r="D141" s="995"/>
      <c r="E141" s="995"/>
      <c r="F141" s="1644"/>
      <c r="G141" s="1644"/>
      <c r="H141" s="359"/>
      <c r="N141" s="1649"/>
      <c r="O141" s="1649"/>
      <c r="P141" s="1649"/>
      <c r="Q141" s="1649"/>
      <c r="R141" s="1374"/>
      <c r="T141" s="1374"/>
      <c r="U141" s="1644"/>
      <c r="V141" s="1644"/>
      <c r="W141" s="1374"/>
      <c r="X141" s="1374"/>
      <c r="Y141" s="1374"/>
      <c r="Z141" s="1374"/>
      <c r="AA141" s="1644"/>
      <c r="AB141" s="1374"/>
      <c r="AC141" s="1374"/>
      <c r="AD141" s="552"/>
      <c r="AE141" s="1374"/>
      <c r="AF141" s="1374"/>
      <c r="AG141" s="1374"/>
      <c r="AH141" s="1374"/>
      <c r="AI141" s="1374"/>
      <c r="AJ141" s="1640"/>
      <c r="AK141" s="630"/>
      <c r="AL141" s="630"/>
      <c r="AM141" s="630"/>
      <c r="AN141" s="630"/>
      <c r="AO141" s="1649">
        <v>11</v>
      </c>
    </row>
    <row s="1649" customFormat="1" customHeight="1" ht="11.549999999999999">
      <c r="A142" s="995"/>
      <c r="B142" s="995"/>
      <c r="C142" s="995"/>
      <c r="D142" s="995"/>
      <c r="E142" s="995"/>
      <c r="F142" s="1644"/>
      <c r="G142" s="1644"/>
      <c r="H142" s="359"/>
      <c r="N142" s="1649"/>
      <c r="O142" s="1649"/>
      <c r="P142" s="1649"/>
      <c r="Q142" s="1649"/>
      <c r="R142" s="1374"/>
      <c r="T142" s="1374"/>
      <c r="U142" s="1644"/>
      <c r="V142" s="1644"/>
      <c r="W142" s="1374"/>
      <c r="X142" s="1374"/>
      <c r="Y142" s="1374"/>
      <c r="Z142" s="1374"/>
      <c r="AA142" s="1644"/>
      <c r="AB142" s="1374"/>
      <c r="AC142" s="1374"/>
      <c r="AD142" s="552"/>
      <c r="AE142" s="1374"/>
      <c r="AF142" s="1374"/>
      <c r="AG142" s="1374"/>
      <c r="AH142" s="1374"/>
      <c r="AI142" s="1374"/>
      <c r="AJ142" s="1640"/>
      <c r="AK142" s="630"/>
      <c r="AL142" s="630"/>
      <c r="AM142" s="630"/>
      <c r="AN142" s="630"/>
      <c r="AO142" s="1649">
        <v>11</v>
      </c>
    </row>
    <row s="1649" customFormat="1" customHeight="1" ht="11.549999999999999">
      <c r="A143" s="995"/>
      <c r="B143" s="995"/>
      <c r="C143" s="995"/>
      <c r="D143" s="995"/>
      <c r="E143" s="995"/>
      <c r="F143" s="1644"/>
      <c r="G143" s="1644"/>
      <c r="H143" s="359"/>
      <c r="N143" s="1649"/>
      <c r="O143" s="1649"/>
      <c r="P143" s="1649"/>
      <c r="Q143" s="1649"/>
      <c r="R143" s="1374"/>
      <c r="T143" s="1374"/>
      <c r="U143" s="1644"/>
      <c r="V143" s="1644"/>
      <c r="W143" s="1374"/>
      <c r="X143" s="1374"/>
      <c r="Y143" s="1374"/>
      <c r="Z143" s="1374"/>
      <c r="AA143" s="1644"/>
      <c r="AB143" s="1374"/>
      <c r="AC143" s="1374"/>
      <c r="AD143" s="552"/>
      <c r="AE143" s="1374"/>
      <c r="AF143" s="1374"/>
      <c r="AG143" s="1374"/>
      <c r="AH143" s="1374"/>
      <c r="AI143" s="1374"/>
      <c r="AJ143" s="1640"/>
      <c r="AK143" s="630"/>
      <c r="AL143" s="630"/>
      <c r="AM143" s="630"/>
      <c r="AN143" s="630"/>
      <c r="AO143" s="1649">
        <v>11</v>
      </c>
    </row>
    <row s="1649" customFormat="1" customHeight="1" ht="11.549999999999999">
      <c r="A144" s="995"/>
      <c r="B144" s="995"/>
      <c r="C144" s="995"/>
      <c r="D144" s="995"/>
      <c r="E144" s="995"/>
      <c r="F144" s="1644"/>
      <c r="G144" s="1644"/>
      <c r="H144" s="359"/>
      <c r="N144" s="1649"/>
      <c r="O144" s="1649"/>
      <c r="P144" s="1649"/>
      <c r="Q144" s="1649"/>
      <c r="R144" s="1374"/>
      <c r="T144" s="1374"/>
      <c r="U144" s="1644"/>
      <c r="V144" s="1644"/>
      <c r="W144" s="1374"/>
      <c r="X144" s="1374"/>
      <c r="Y144" s="1374"/>
      <c r="Z144" s="1374"/>
      <c r="AA144" s="1644"/>
      <c r="AB144" s="1374"/>
      <c r="AC144" s="1374"/>
      <c r="AD144" s="552"/>
      <c r="AE144" s="1374"/>
      <c r="AF144" s="1374"/>
      <c r="AG144" s="1374"/>
      <c r="AH144" s="1374"/>
      <c r="AI144" s="1374"/>
      <c r="AJ144" s="1640"/>
      <c r="AK144" s="630"/>
      <c r="AL144" s="630"/>
      <c r="AM144" s="630"/>
      <c r="AN144" s="630"/>
      <c r="AO144" s="1649">
        <v>11</v>
      </c>
    </row>
    <row s="1649" customFormat="1" customHeight="1" ht="11.549999999999999">
      <c r="A145" s="995"/>
      <c r="B145" s="995"/>
      <c r="C145" s="995"/>
      <c r="D145" s="995"/>
      <c r="E145" s="995"/>
      <c r="F145" s="1644"/>
      <c r="G145" s="1644"/>
      <c r="H145" s="359"/>
      <c r="N145" s="1649"/>
      <c r="O145" s="1649"/>
      <c r="P145" s="1649"/>
      <c r="Q145" s="1649"/>
      <c r="R145" s="1374"/>
      <c r="T145" s="1374"/>
      <c r="U145" s="1644"/>
      <c r="V145" s="1644"/>
      <c r="W145" s="1374"/>
      <c r="X145" s="1374"/>
      <c r="Y145" s="1374"/>
      <c r="Z145" s="1374"/>
      <c r="AA145" s="1644"/>
      <c r="AB145" s="1374"/>
      <c r="AC145" s="1374"/>
      <c r="AD145" s="552"/>
      <c r="AE145" s="1374"/>
      <c r="AF145" s="1374"/>
      <c r="AG145" s="1374"/>
      <c r="AH145" s="1374"/>
      <c r="AI145" s="1374"/>
      <c r="AJ145" s="1640"/>
      <c r="AK145" s="630"/>
      <c r="AL145" s="630"/>
      <c r="AM145" s="630"/>
      <c r="AN145" s="630"/>
      <c r="AO145" s="1649">
        <v>11</v>
      </c>
    </row>
    <row s="1649" customFormat="1" customHeight="1" ht="11.549999999999999">
      <c r="A146" s="995"/>
      <c r="B146" s="995"/>
      <c r="C146" s="995"/>
      <c r="D146" s="995"/>
      <c r="E146" s="995"/>
      <c r="F146" s="1644"/>
      <c r="G146" s="1644"/>
      <c r="H146" s="359"/>
      <c r="N146" s="1649"/>
      <c r="O146" s="1649"/>
      <c r="P146" s="1649"/>
      <c r="Q146" s="1649"/>
      <c r="R146" s="1374"/>
      <c r="T146" s="1374"/>
      <c r="U146" s="1644"/>
      <c r="V146" s="1644"/>
      <c r="W146" s="1374"/>
      <c r="X146" s="1374"/>
      <c r="Y146" s="1374"/>
      <c r="Z146" s="1374"/>
      <c r="AA146" s="1644"/>
      <c r="AB146" s="1374"/>
      <c r="AC146" s="1374"/>
      <c r="AD146" s="552"/>
      <c r="AE146" s="1374"/>
      <c r="AF146" s="1374"/>
      <c r="AG146" s="1374"/>
      <c r="AH146" s="1374"/>
      <c r="AI146" s="1374"/>
      <c r="AJ146" s="1640"/>
      <c r="AK146" s="630"/>
      <c r="AL146" s="630"/>
      <c r="AM146" s="630"/>
      <c r="AN146" s="630"/>
      <c r="AO146" s="1649">
        <v>11</v>
      </c>
    </row>
    <row s="1649" customFormat="1" customHeight="1" ht="11.549999999999999">
      <c r="A147" s="995"/>
      <c r="B147" s="995"/>
      <c r="C147" s="995"/>
      <c r="D147" s="995"/>
      <c r="E147" s="995"/>
      <c r="F147" s="1644"/>
      <c r="G147" s="1644"/>
      <c r="H147" s="359"/>
      <c r="N147" s="1649"/>
      <c r="O147" s="1649"/>
      <c r="P147" s="1649"/>
      <c r="Q147" s="1649"/>
      <c r="R147" s="1374"/>
      <c r="T147" s="1374"/>
      <c r="U147" s="1644"/>
      <c r="V147" s="1644"/>
      <c r="W147" s="1374"/>
      <c r="X147" s="1374"/>
      <c r="Y147" s="1374"/>
      <c r="Z147" s="1374"/>
      <c r="AA147" s="1644"/>
      <c r="AB147" s="1374"/>
      <c r="AC147" s="1374"/>
      <c r="AD147" s="552"/>
      <c r="AE147" s="1374"/>
      <c r="AF147" s="1374"/>
      <c r="AG147" s="1374"/>
      <c r="AH147" s="1374"/>
      <c r="AI147" s="1374"/>
      <c r="AJ147" s="1640"/>
      <c r="AK147" s="630"/>
      <c r="AL147" s="630"/>
      <c r="AM147" s="630"/>
      <c r="AN147" s="630"/>
      <c r="AO147" s="1649">
        <v>11</v>
      </c>
    </row>
    <row s="1649" customFormat="1" customHeight="1" ht="11.549999999999999">
      <c r="A148" s="995"/>
      <c r="B148" s="995"/>
      <c r="C148" s="995"/>
      <c r="D148" s="995"/>
      <c r="E148" s="995"/>
      <c r="F148" s="1644"/>
      <c r="G148" s="1644"/>
      <c r="H148" s="359"/>
      <c r="N148" s="1649"/>
      <c r="O148" s="1649"/>
      <c r="P148" s="1649"/>
      <c r="Q148" s="1649"/>
      <c r="R148" s="1374"/>
      <c r="T148" s="1374"/>
      <c r="U148" s="1644"/>
      <c r="V148" s="1644"/>
      <c r="W148" s="1374"/>
      <c r="X148" s="1374"/>
      <c r="Y148" s="1374"/>
      <c r="Z148" s="1374"/>
      <c r="AA148" s="1644"/>
      <c r="AB148" s="1374"/>
      <c r="AC148" s="1374"/>
      <c r="AD148" s="552"/>
      <c r="AE148" s="1374"/>
      <c r="AF148" s="1374"/>
      <c r="AG148" s="1374"/>
      <c r="AH148" s="1374"/>
      <c r="AI148" s="1374"/>
      <c r="AJ148" s="1640"/>
      <c r="AK148" s="630"/>
      <c r="AL148" s="630"/>
      <c r="AM148" s="630"/>
      <c r="AN148" s="630"/>
      <c r="AO148" s="1649">
        <v>11</v>
      </c>
    </row>
    <row s="1649" customFormat="1" customHeight="1" ht="11.549999999999999">
      <c r="A149" s="995"/>
      <c r="B149" s="995"/>
      <c r="C149" s="995"/>
      <c r="D149" s="995"/>
      <c r="E149" s="995"/>
      <c r="F149" s="1644"/>
      <c r="G149" s="1644"/>
      <c r="H149" s="359"/>
      <c r="N149" s="1649"/>
      <c r="O149" s="1649"/>
      <c r="P149" s="1649"/>
      <c r="Q149" s="1649"/>
      <c r="R149" s="1374"/>
      <c r="T149" s="1374"/>
      <c r="U149" s="1644"/>
      <c r="V149" s="1644"/>
      <c r="W149" s="1374"/>
      <c r="X149" s="1374"/>
      <c r="Y149" s="1374"/>
      <c r="Z149" s="1374"/>
      <c r="AA149" s="1644"/>
      <c r="AB149" s="1374"/>
      <c r="AC149" s="1374"/>
      <c r="AD149" s="552"/>
      <c r="AE149" s="1374"/>
      <c r="AF149" s="1374"/>
      <c r="AG149" s="1374"/>
      <c r="AH149" s="1374"/>
      <c r="AI149" s="1374"/>
      <c r="AJ149" s="1640"/>
      <c r="AK149" s="630"/>
      <c r="AL149" s="630"/>
      <c r="AM149" s="630"/>
      <c r="AN149" s="630"/>
      <c r="AO149" s="1649">
        <v>11</v>
      </c>
    </row>
    <row s="1649" customFormat="1" customHeight="1" ht="11.549999999999999">
      <c r="A150" s="995"/>
      <c r="B150" s="995"/>
      <c r="C150" s="995"/>
      <c r="D150" s="995"/>
      <c r="E150" s="995"/>
      <c r="F150" s="1644"/>
      <c r="G150" s="1644"/>
      <c r="H150" s="359"/>
      <c r="N150" s="1649"/>
      <c r="O150" s="1649"/>
      <c r="P150" s="1649"/>
      <c r="Q150" s="1649"/>
      <c r="R150" s="1374"/>
      <c r="T150" s="1374"/>
      <c r="U150" s="1644"/>
      <c r="V150" s="1644"/>
      <c r="W150" s="1374"/>
      <c r="X150" s="1374"/>
      <c r="Y150" s="1374"/>
      <c r="Z150" s="1374"/>
      <c r="AA150" s="1644"/>
      <c r="AB150" s="1374"/>
      <c r="AC150" s="1374"/>
      <c r="AD150" s="552"/>
      <c r="AE150" s="1374"/>
      <c r="AF150" s="1374"/>
      <c r="AG150" s="1374"/>
      <c r="AH150" s="1374"/>
      <c r="AI150" s="1374"/>
      <c r="AJ150" s="1640"/>
      <c r="AK150" s="630"/>
      <c r="AL150" s="630"/>
      <c r="AM150" s="630"/>
      <c r="AN150" s="630"/>
      <c r="AO150" s="1649">
        <v>11</v>
      </c>
    </row>
    <row s="1649" customFormat="1" customHeight="1" ht="11.549999999999999">
      <c r="A151" s="995"/>
      <c r="B151" s="995"/>
      <c r="C151" s="995"/>
      <c r="D151" s="995"/>
      <c r="E151" s="995"/>
      <c r="F151" s="1644"/>
      <c r="G151" s="1644"/>
      <c r="H151" s="359"/>
      <c r="N151" s="1649"/>
      <c r="O151" s="1649"/>
      <c r="P151" s="1649"/>
      <c r="Q151" s="1649"/>
      <c r="R151" s="1374"/>
      <c r="T151" s="1374"/>
      <c r="U151" s="1644"/>
      <c r="V151" s="1644"/>
      <c r="W151" s="1374"/>
      <c r="X151" s="1374"/>
      <c r="Y151" s="1374"/>
      <c r="Z151" s="1374"/>
      <c r="AA151" s="1644"/>
      <c r="AB151" s="1374"/>
      <c r="AC151" s="1374"/>
      <c r="AD151" s="552"/>
      <c r="AE151" s="1374"/>
      <c r="AF151" s="1374"/>
      <c r="AG151" s="1374"/>
      <c r="AH151" s="1374"/>
      <c r="AI151" s="1374"/>
      <c r="AJ151" s="1640"/>
      <c r="AK151" s="630"/>
      <c r="AL151" s="630"/>
      <c r="AM151" s="630"/>
      <c r="AN151" s="630"/>
      <c r="AO151" s="1649">
        <v>11</v>
      </c>
    </row>
    <row s="1649" customFormat="1" customHeight="1" ht="11.549999999999999">
      <c r="A152" s="995"/>
      <c r="B152" s="995"/>
      <c r="C152" s="995"/>
      <c r="D152" s="995"/>
      <c r="E152" s="995"/>
      <c r="F152" s="1644"/>
      <c r="G152" s="1644"/>
      <c r="H152" s="359"/>
      <c r="N152" s="1649"/>
      <c r="O152" s="1649"/>
      <c r="P152" s="1649"/>
      <c r="Q152" s="1649"/>
      <c r="R152" s="1374"/>
      <c r="T152" s="1374"/>
      <c r="U152" s="1644"/>
      <c r="V152" s="1644"/>
      <c r="W152" s="1374"/>
      <c r="X152" s="1374"/>
      <c r="Y152" s="1374"/>
      <c r="Z152" s="1374"/>
      <c r="AA152" s="1644"/>
      <c r="AB152" s="1374"/>
      <c r="AC152" s="1374"/>
      <c r="AD152" s="552"/>
      <c r="AE152" s="1374"/>
      <c r="AF152" s="1374"/>
      <c r="AG152" s="1374"/>
      <c r="AH152" s="1374"/>
      <c r="AI152" s="1374"/>
      <c r="AJ152" s="1640"/>
      <c r="AK152" s="630"/>
      <c r="AL152" s="630"/>
      <c r="AM152" s="630"/>
      <c r="AN152" s="630"/>
      <c r="AO152" s="1649">
        <v>11</v>
      </c>
    </row>
    <row s="1649" customFormat="1" customHeight="1" ht="11.549999999999999">
      <c r="A153" s="995"/>
      <c r="B153" s="995"/>
      <c r="C153" s="995"/>
      <c r="D153" s="995"/>
      <c r="E153" s="995"/>
      <c r="F153" s="1644"/>
      <c r="G153" s="1644"/>
      <c r="H153" s="359"/>
      <c r="N153" s="1649"/>
      <c r="O153" s="1649"/>
      <c r="P153" s="1649"/>
      <c r="Q153" s="1649"/>
      <c r="R153" s="1374"/>
      <c r="T153" s="1374"/>
      <c r="U153" s="1644"/>
      <c r="V153" s="1644"/>
      <c r="W153" s="1374"/>
      <c r="X153" s="1374"/>
      <c r="Y153" s="1374"/>
      <c r="Z153" s="1374"/>
      <c r="AA153" s="1644"/>
      <c r="AB153" s="1374"/>
      <c r="AC153" s="1374"/>
      <c r="AD153" s="552"/>
      <c r="AE153" s="1374"/>
      <c r="AF153" s="1374"/>
      <c r="AG153" s="1374"/>
      <c r="AH153" s="1374"/>
      <c r="AI153" s="1374"/>
      <c r="AJ153" s="1640"/>
      <c r="AK153" s="630"/>
      <c r="AL153" s="630"/>
      <c r="AM153" s="630"/>
      <c r="AN153" s="630"/>
      <c r="AO153" s="1649">
        <v>11</v>
      </c>
    </row>
    <row s="1649" customFormat="1" customHeight="1" ht="11.549999999999999">
      <c r="A154" s="995"/>
      <c r="B154" s="995"/>
      <c r="C154" s="995"/>
      <c r="D154" s="995"/>
      <c r="E154" s="995"/>
      <c r="F154" s="1644"/>
      <c r="G154" s="1644"/>
      <c r="H154" s="359"/>
      <c r="N154" s="1649"/>
      <c r="O154" s="1649"/>
      <c r="P154" s="1649"/>
      <c r="Q154" s="1649"/>
      <c r="R154" s="1374"/>
      <c r="T154" s="1374"/>
      <c r="U154" s="1644"/>
      <c r="V154" s="1644"/>
      <c r="W154" s="1374"/>
      <c r="X154" s="1374"/>
      <c r="Y154" s="1374"/>
      <c r="Z154" s="1374"/>
      <c r="AA154" s="1644"/>
      <c r="AB154" s="1374"/>
      <c r="AC154" s="1374"/>
      <c r="AD154" s="552"/>
      <c r="AE154" s="1374"/>
      <c r="AF154" s="1374"/>
      <c r="AG154" s="1374"/>
      <c r="AH154" s="1374"/>
      <c r="AI154" s="1374"/>
      <c r="AJ154" s="1640"/>
      <c r="AK154" s="630"/>
      <c r="AL154" s="630"/>
      <c r="AM154" s="630"/>
      <c r="AN154" s="630"/>
      <c r="AO154" s="1649">
        <v>11</v>
      </c>
    </row>
    <row s="1649" customFormat="1" customHeight="1" ht="11.549999999999999">
      <c r="A155" s="995"/>
      <c r="B155" s="995"/>
      <c r="C155" s="995"/>
      <c r="D155" s="995"/>
      <c r="E155" s="995"/>
      <c r="F155" s="1644"/>
      <c r="G155" s="1644"/>
      <c r="H155" s="359"/>
      <c r="N155" s="1649"/>
      <c r="O155" s="1649"/>
      <c r="P155" s="1649"/>
      <c r="Q155" s="1649"/>
      <c r="R155" s="1374"/>
      <c r="T155" s="1374"/>
      <c r="U155" s="1644"/>
      <c r="V155" s="1644"/>
      <c r="W155" s="1374"/>
      <c r="X155" s="1374"/>
      <c r="Y155" s="1374"/>
      <c r="Z155" s="1374"/>
      <c r="AA155" s="1644"/>
      <c r="AB155" s="1374"/>
      <c r="AC155" s="1374"/>
      <c r="AD155" s="552"/>
      <c r="AE155" s="1374"/>
      <c r="AF155" s="1374"/>
      <c r="AG155" s="1374"/>
      <c r="AH155" s="1374"/>
      <c r="AI155" s="1374"/>
      <c r="AJ155" s="1640"/>
      <c r="AK155" s="630"/>
      <c r="AL155" s="630"/>
      <c r="AM155" s="630"/>
      <c r="AN155" s="630"/>
      <c r="AO155" s="1649">
        <v>11</v>
      </c>
    </row>
    <row s="1649" customFormat="1" customHeight="1" ht="11.549999999999999">
      <c r="A156" s="995"/>
      <c r="B156" s="995"/>
      <c r="C156" s="995"/>
      <c r="D156" s="995"/>
      <c r="E156" s="995"/>
      <c r="F156" s="1644"/>
      <c r="G156" s="1644"/>
      <c r="H156" s="359"/>
      <c r="N156" s="1649"/>
      <c r="O156" s="1649"/>
      <c r="P156" s="1649"/>
      <c r="Q156" s="1649"/>
      <c r="R156" s="1374"/>
      <c r="T156" s="1374"/>
      <c r="U156" s="1644"/>
      <c r="V156" s="1644"/>
      <c r="W156" s="1374"/>
      <c r="X156" s="1374"/>
      <c r="Y156" s="1374"/>
      <c r="Z156" s="1374"/>
      <c r="AA156" s="1644"/>
      <c r="AB156" s="1374"/>
      <c r="AC156" s="1374"/>
      <c r="AD156" s="552"/>
      <c r="AE156" s="1374"/>
      <c r="AF156" s="1374"/>
      <c r="AG156" s="1374"/>
      <c r="AH156" s="1374"/>
      <c r="AI156" s="1374"/>
      <c r="AJ156" s="1640"/>
      <c r="AK156" s="630"/>
      <c r="AL156" s="630"/>
      <c r="AM156" s="630"/>
      <c r="AN156" s="630"/>
      <c r="AO156" s="1649">
        <v>11</v>
      </c>
    </row>
    <row s="1649" customFormat="1" customHeight="1" ht="11.549999999999999">
      <c r="A157" s="995"/>
      <c r="B157" s="995"/>
      <c r="C157" s="995"/>
      <c r="D157" s="995"/>
      <c r="E157" s="995"/>
      <c r="F157" s="1644"/>
      <c r="G157" s="1644"/>
      <c r="H157" s="359"/>
      <c r="N157" s="1649"/>
      <c r="O157" s="1649"/>
      <c r="P157" s="1649"/>
      <c r="Q157" s="1649"/>
      <c r="R157" s="1374"/>
      <c r="T157" s="1374"/>
      <c r="U157" s="1644"/>
      <c r="V157" s="1644"/>
      <c r="W157" s="1374"/>
      <c r="X157" s="1374"/>
      <c r="Y157" s="1374"/>
      <c r="Z157" s="1374"/>
      <c r="AA157" s="1644"/>
      <c r="AB157" s="1374"/>
      <c r="AC157" s="1374"/>
      <c r="AD157" s="552"/>
      <c r="AE157" s="1374"/>
      <c r="AF157" s="1374"/>
      <c r="AG157" s="1374"/>
      <c r="AH157" s="1374"/>
      <c r="AI157" s="1374"/>
      <c r="AJ157" s="1640"/>
      <c r="AK157" s="630"/>
      <c r="AL157" s="630"/>
      <c r="AM157" s="630"/>
      <c r="AN157" s="630"/>
      <c r="AO157" s="1649">
        <v>11</v>
      </c>
    </row>
    <row s="1649" customFormat="1" customHeight="1" ht="11.549999999999999">
      <c r="A158" s="995"/>
      <c r="B158" s="995"/>
      <c r="C158" s="995"/>
      <c r="D158" s="995"/>
      <c r="E158" s="995"/>
      <c r="F158" s="1644"/>
      <c r="G158" s="1644"/>
      <c r="H158" s="359"/>
      <c r="N158" s="1649"/>
      <c r="O158" s="1649"/>
      <c r="P158" s="1649"/>
      <c r="Q158" s="1649"/>
      <c r="R158" s="1374"/>
      <c r="T158" s="1374"/>
      <c r="U158" s="1644"/>
      <c r="V158" s="1644"/>
      <c r="W158" s="1374"/>
      <c r="X158" s="1374"/>
      <c r="Y158" s="1374"/>
      <c r="Z158" s="1374"/>
      <c r="AA158" s="1644"/>
      <c r="AB158" s="1374"/>
      <c r="AC158" s="1374"/>
      <c r="AD158" s="552"/>
      <c r="AE158" s="1374"/>
      <c r="AF158" s="1374"/>
      <c r="AG158" s="1374"/>
      <c r="AH158" s="1374"/>
      <c r="AI158" s="1374"/>
      <c r="AJ158" s="1640"/>
      <c r="AK158" s="630"/>
      <c r="AL158" s="630"/>
      <c r="AM158" s="630"/>
      <c r="AN158" s="630"/>
      <c r="AO158" s="1649">
        <v>11</v>
      </c>
    </row>
    <row s="1649" customFormat="1" customHeight="1" ht="11.549999999999999">
      <c r="A159" s="995"/>
      <c r="B159" s="995"/>
      <c r="C159" s="995"/>
      <c r="D159" s="995"/>
      <c r="E159" s="995"/>
      <c r="F159" s="1644"/>
      <c r="G159" s="1644"/>
      <c r="H159" s="359"/>
      <c r="N159" s="1649"/>
      <c r="O159" s="1649"/>
      <c r="P159" s="1649"/>
      <c r="Q159" s="1649"/>
      <c r="R159" s="1374"/>
      <c r="T159" s="1374"/>
      <c r="U159" s="1644"/>
      <c r="V159" s="1644"/>
      <c r="W159" s="1374"/>
      <c r="X159" s="1374"/>
      <c r="Y159" s="1374"/>
      <c r="Z159" s="1374"/>
      <c r="AA159" s="1644"/>
      <c r="AB159" s="1374"/>
      <c r="AC159" s="1374"/>
      <c r="AD159" s="552"/>
      <c r="AE159" s="1374"/>
      <c r="AF159" s="1374"/>
      <c r="AG159" s="1374"/>
      <c r="AH159" s="1374"/>
      <c r="AI159" s="1374"/>
      <c r="AJ159" s="1640"/>
      <c r="AK159" s="630"/>
      <c r="AL159" s="630"/>
      <c r="AM159" s="630"/>
      <c r="AN159" s="630"/>
      <c r="AO159" s="1649">
        <v>11</v>
      </c>
    </row>
    <row s="1649" customFormat="1" customHeight="1" ht="11.549999999999999">
      <c r="A160" s="995"/>
      <c r="B160" s="995"/>
      <c r="C160" s="995"/>
      <c r="D160" s="995"/>
      <c r="E160" s="995"/>
      <c r="F160" s="1644"/>
      <c r="G160" s="1644"/>
      <c r="H160" s="359"/>
      <c r="N160" s="1649"/>
      <c r="O160" s="1649"/>
      <c r="P160" s="1649"/>
      <c r="Q160" s="1649"/>
      <c r="R160" s="1374"/>
      <c r="T160" s="1374"/>
      <c r="U160" s="1644"/>
      <c r="V160" s="1644"/>
      <c r="W160" s="1374"/>
      <c r="X160" s="1374"/>
      <c r="Y160" s="1374"/>
      <c r="Z160" s="1374"/>
      <c r="AA160" s="1644"/>
      <c r="AB160" s="1374"/>
      <c r="AC160" s="1374"/>
      <c r="AD160" s="552"/>
      <c r="AE160" s="1374"/>
      <c r="AF160" s="1374"/>
      <c r="AG160" s="1374"/>
      <c r="AH160" s="1374"/>
      <c r="AI160" s="1374"/>
      <c r="AJ160" s="1640"/>
      <c r="AK160" s="630"/>
      <c r="AL160" s="630"/>
      <c r="AM160" s="630"/>
      <c r="AN160" s="630"/>
      <c r="AO160" s="1649">
        <v>11</v>
      </c>
    </row>
    <row s="1649" customFormat="1" customHeight="1" ht="11.549999999999999">
      <c r="A161" s="995"/>
      <c r="B161" s="995"/>
      <c r="C161" s="995"/>
      <c r="D161" s="995"/>
      <c r="E161" s="995"/>
      <c r="F161" s="1644"/>
      <c r="G161" s="1644"/>
      <c r="H161" s="359"/>
      <c r="N161" s="1649"/>
      <c r="O161" s="1649"/>
      <c r="P161" s="1649"/>
      <c r="Q161" s="1649"/>
      <c r="R161" s="1374"/>
      <c r="T161" s="1374"/>
      <c r="U161" s="1644"/>
      <c r="V161" s="1644"/>
      <c r="W161" s="1374"/>
      <c r="X161" s="1374"/>
      <c r="Y161" s="1374"/>
      <c r="Z161" s="1374"/>
      <c r="AA161" s="1644"/>
      <c r="AB161" s="1374"/>
      <c r="AC161" s="1374"/>
      <c r="AD161" s="552"/>
      <c r="AE161" s="1374"/>
      <c r="AF161" s="1374"/>
      <c r="AG161" s="1374"/>
      <c r="AH161" s="1374"/>
      <c r="AI161" s="1374"/>
      <c r="AJ161" s="1640"/>
      <c r="AK161" s="630"/>
      <c r="AL161" s="630"/>
      <c r="AM161" s="630"/>
      <c r="AN161" s="630"/>
      <c r="AO161" s="1649">
        <v>11</v>
      </c>
    </row>
    <row s="1649" customFormat="1" customHeight="1" ht="11.549999999999999">
      <c r="A162" s="995"/>
      <c r="B162" s="995"/>
      <c r="C162" s="995"/>
      <c r="D162" s="995"/>
      <c r="E162" s="995"/>
      <c r="F162" s="1644"/>
      <c r="G162" s="1644"/>
      <c r="H162" s="359"/>
      <c r="N162" s="1649"/>
      <c r="O162" s="1649"/>
      <c r="P162" s="1649"/>
      <c r="Q162" s="1649"/>
      <c r="R162" s="1374"/>
      <c r="T162" s="1374"/>
      <c r="U162" s="1644"/>
      <c r="V162" s="1644"/>
      <c r="W162" s="1374"/>
      <c r="X162" s="1374"/>
      <c r="Y162" s="1374"/>
      <c r="Z162" s="1374"/>
      <c r="AA162" s="1644"/>
      <c r="AB162" s="1374"/>
      <c r="AC162" s="1374"/>
      <c r="AD162" s="552"/>
      <c r="AE162" s="1374"/>
      <c r="AF162" s="1374"/>
      <c r="AG162" s="1374"/>
      <c r="AH162" s="1374"/>
      <c r="AI162" s="1374"/>
      <c r="AJ162" s="1640"/>
      <c r="AK162" s="630"/>
      <c r="AL162" s="630"/>
      <c r="AM162" s="630"/>
      <c r="AN162" s="630"/>
      <c r="AO162" s="1649">
        <v>11</v>
      </c>
    </row>
    <row s="1649" customFormat="1" customHeight="1" ht="11.549999999999999">
      <c r="A163" s="995"/>
      <c r="B163" s="995"/>
      <c r="C163" s="995"/>
      <c r="D163" s="995"/>
      <c r="E163" s="995"/>
      <c r="F163" s="1644"/>
      <c r="G163" s="1644"/>
      <c r="H163" s="359"/>
      <c r="N163" s="1649"/>
      <c r="O163" s="1649"/>
      <c r="P163" s="1649"/>
      <c r="Q163" s="1649"/>
      <c r="R163" s="1374"/>
      <c r="T163" s="1374"/>
      <c r="U163" s="1644"/>
      <c r="V163" s="1644"/>
      <c r="W163" s="1374"/>
      <c r="X163" s="1374"/>
      <c r="Y163" s="1374"/>
      <c r="Z163" s="1374"/>
      <c r="AA163" s="1644"/>
      <c r="AB163" s="1374"/>
      <c r="AC163" s="1374"/>
      <c r="AD163" s="552"/>
      <c r="AE163" s="1374"/>
      <c r="AF163" s="1374"/>
      <c r="AG163" s="1374"/>
      <c r="AH163" s="1374"/>
      <c r="AI163" s="1374"/>
      <c r="AJ163" s="1640"/>
      <c r="AK163" s="630"/>
      <c r="AL163" s="630"/>
      <c r="AM163" s="630"/>
      <c r="AN163" s="630"/>
      <c r="AO163" s="1649">
        <v>11</v>
      </c>
    </row>
    <row s="1649" customFormat="1" customHeight="1" ht="11.549999999999999">
      <c r="A164" s="995"/>
      <c r="B164" s="995"/>
      <c r="C164" s="995"/>
      <c r="D164" s="995"/>
      <c r="E164" s="995"/>
      <c r="F164" s="1644"/>
      <c r="G164" s="1644"/>
      <c r="H164" s="359"/>
      <c r="N164" s="1649"/>
      <c r="O164" s="1649"/>
      <c r="P164" s="1649"/>
      <c r="Q164" s="1649"/>
      <c r="R164" s="1374"/>
      <c r="T164" s="1374"/>
      <c r="U164" s="1644"/>
      <c r="V164" s="1644"/>
      <c r="W164" s="1374"/>
      <c r="X164" s="1374"/>
      <c r="Y164" s="1374"/>
      <c r="Z164" s="1374"/>
      <c r="AA164" s="1644"/>
      <c r="AB164" s="1374"/>
      <c r="AC164" s="1374"/>
      <c r="AD164" s="552"/>
      <c r="AE164" s="1374"/>
      <c r="AF164" s="1374"/>
      <c r="AG164" s="1374"/>
      <c r="AH164" s="1374"/>
      <c r="AI164" s="1374"/>
      <c r="AJ164" s="1640"/>
      <c r="AK164" s="630"/>
      <c r="AL164" s="630"/>
      <c r="AM164" s="630"/>
      <c r="AN164" s="630"/>
      <c r="AO164" s="1649">
        <v>11</v>
      </c>
    </row>
    <row s="1649" customFormat="1" customHeight="1" ht="11.549999999999999">
      <c r="A165" s="995"/>
      <c r="B165" s="995"/>
      <c r="C165" s="995"/>
      <c r="D165" s="995"/>
      <c r="E165" s="995"/>
      <c r="F165" s="1644"/>
      <c r="G165" s="1644"/>
      <c r="H165" s="359"/>
      <c r="N165" s="1649"/>
      <c r="O165" s="1649"/>
      <c r="P165" s="1649"/>
      <c r="Q165" s="1649"/>
      <c r="R165" s="1374"/>
      <c r="T165" s="1374"/>
      <c r="U165" s="1644"/>
      <c r="V165" s="1644"/>
      <c r="W165" s="1374"/>
      <c r="X165" s="1374"/>
      <c r="Y165" s="1374"/>
      <c r="Z165" s="1374"/>
      <c r="AA165" s="1644"/>
      <c r="AB165" s="1374"/>
      <c r="AC165" s="1374"/>
      <c r="AD165" s="552"/>
      <c r="AE165" s="1374"/>
      <c r="AF165" s="1374"/>
      <c r="AG165" s="1374"/>
      <c r="AH165" s="1374"/>
      <c r="AI165" s="1374"/>
      <c r="AJ165" s="1640"/>
      <c r="AK165" s="630"/>
      <c r="AL165" s="630"/>
      <c r="AM165" s="630"/>
      <c r="AN165" s="630"/>
      <c r="AO165" s="1649">
        <v>11</v>
      </c>
    </row>
    <row s="1649" customFormat="1" customHeight="1" ht="11.549999999999999">
      <c r="A166" s="995"/>
      <c r="B166" s="995"/>
      <c r="C166" s="995"/>
      <c r="D166" s="995"/>
      <c r="E166" s="995"/>
      <c r="F166" s="1644"/>
      <c r="G166" s="1644"/>
      <c r="H166" s="359"/>
      <c r="N166" s="1649"/>
      <c r="O166" s="1649"/>
      <c r="P166" s="1649"/>
      <c r="Q166" s="1649"/>
      <c r="R166" s="1374"/>
      <c r="T166" s="1374"/>
      <c r="U166" s="1644"/>
      <c r="V166" s="1644"/>
      <c r="W166" s="1374"/>
      <c r="X166" s="1374"/>
      <c r="Y166" s="1374"/>
      <c r="Z166" s="1374"/>
      <c r="AA166" s="1644"/>
      <c r="AB166" s="1374"/>
      <c r="AC166" s="1374"/>
      <c r="AD166" s="552"/>
      <c r="AE166" s="1374"/>
      <c r="AF166" s="1374"/>
      <c r="AG166" s="1374"/>
      <c r="AH166" s="1374"/>
      <c r="AI166" s="1374"/>
      <c r="AJ166" s="1640"/>
      <c r="AK166" s="630"/>
      <c r="AL166" s="630"/>
      <c r="AM166" s="630"/>
      <c r="AN166" s="630"/>
      <c r="AO166" s="1649">
        <v>11</v>
      </c>
    </row>
    <row s="1649" customFormat="1" customHeight="1" ht="11.549999999999999">
      <c r="A167" s="995"/>
      <c r="B167" s="995"/>
      <c r="C167" s="995"/>
      <c r="D167" s="995"/>
      <c r="E167" s="995"/>
      <c r="F167" s="1644"/>
      <c r="G167" s="1644"/>
      <c r="H167" s="359"/>
      <c r="N167" s="1649"/>
      <c r="O167" s="1649"/>
      <c r="P167" s="1649"/>
      <c r="Q167" s="1649"/>
      <c r="R167" s="1374"/>
      <c r="T167" s="1374"/>
      <c r="U167" s="1644"/>
      <c r="V167" s="1644"/>
      <c r="W167" s="1374"/>
      <c r="X167" s="1374"/>
      <c r="Y167" s="1374"/>
      <c r="Z167" s="1374"/>
      <c r="AA167" s="1644"/>
      <c r="AB167" s="1374"/>
      <c r="AC167" s="1374"/>
      <c r="AD167" s="552"/>
      <c r="AE167" s="1374"/>
      <c r="AF167" s="1374"/>
      <c r="AG167" s="1374"/>
      <c r="AH167" s="1374"/>
      <c r="AI167" s="1374"/>
      <c r="AJ167" s="1640"/>
      <c r="AK167" s="630"/>
      <c r="AL167" s="630"/>
      <c r="AM167" s="630"/>
      <c r="AN167" s="630"/>
      <c r="AO167" s="1649">
        <v>11</v>
      </c>
    </row>
    <row s="1649" customFormat="1" customHeight="1" ht="11.549999999999999">
      <c r="A168" s="995"/>
      <c r="B168" s="995"/>
      <c r="C168" s="995"/>
      <c r="D168" s="995"/>
      <c r="E168" s="995"/>
      <c r="F168" s="1644"/>
      <c r="G168" s="1644"/>
      <c r="H168" s="359"/>
      <c r="N168" s="1649"/>
      <c r="O168" s="1649"/>
      <c r="P168" s="1649"/>
      <c r="Q168" s="1649"/>
      <c r="R168" s="1374"/>
      <c r="T168" s="1374"/>
      <c r="U168" s="1644"/>
      <c r="V168" s="1644"/>
      <c r="W168" s="1374"/>
      <c r="X168" s="1374"/>
      <c r="Y168" s="1374"/>
      <c r="Z168" s="1374"/>
      <c r="AA168" s="1644"/>
      <c r="AB168" s="1374"/>
      <c r="AC168" s="1374"/>
      <c r="AD168" s="552"/>
      <c r="AE168" s="1374"/>
      <c r="AF168" s="1374"/>
      <c r="AG168" s="1374"/>
      <c r="AH168" s="1374"/>
      <c r="AI168" s="1374"/>
      <c r="AJ168" s="1640"/>
      <c r="AK168" s="630"/>
      <c r="AL168" s="630"/>
      <c r="AM168" s="630"/>
      <c r="AN168" s="630"/>
      <c r="AO168" s="1649">
        <v>11</v>
      </c>
    </row>
    <row s="1649" customFormat="1" customHeight="1" ht="11.549999999999999">
      <c r="A169" s="995"/>
      <c r="B169" s="995"/>
      <c r="C169" s="995"/>
      <c r="D169" s="995"/>
      <c r="E169" s="995"/>
      <c r="F169" s="1644"/>
      <c r="G169" s="1644"/>
      <c r="H169" s="359"/>
      <c r="N169" s="1649"/>
      <c r="O169" s="1649"/>
      <c r="P169" s="1649"/>
      <c r="Q169" s="1649"/>
      <c r="R169" s="1374"/>
      <c r="T169" s="1374"/>
      <c r="U169" s="1644"/>
      <c r="V169" s="1644"/>
      <c r="W169" s="1374"/>
      <c r="X169" s="1374"/>
      <c r="Y169" s="1374"/>
      <c r="Z169" s="1374"/>
      <c r="AA169" s="1644"/>
      <c r="AB169" s="1374"/>
      <c r="AC169" s="1374"/>
      <c r="AD169" s="552"/>
      <c r="AE169" s="1374"/>
      <c r="AF169" s="1374"/>
      <c r="AG169" s="1374"/>
      <c r="AH169" s="1374"/>
      <c r="AI169" s="1374"/>
      <c r="AJ169" s="1640"/>
      <c r="AK169" s="630"/>
      <c r="AL169" s="630"/>
      <c r="AM169" s="630"/>
      <c r="AN169" s="630"/>
      <c r="AO169" s="1649">
        <v>11</v>
      </c>
    </row>
    <row s="1649" customFormat="1" customHeight="1" ht="11.549999999999999">
      <c r="A170" s="995"/>
      <c r="B170" s="995"/>
      <c r="C170" s="995"/>
      <c r="D170" s="995"/>
      <c r="E170" s="995"/>
      <c r="F170" s="1644"/>
      <c r="G170" s="1644"/>
      <c r="H170" s="359"/>
      <c r="N170" s="1649"/>
      <c r="O170" s="1649"/>
      <c r="P170" s="1649"/>
      <c r="Q170" s="1649"/>
      <c r="R170" s="1374"/>
      <c r="T170" s="1374"/>
      <c r="U170" s="1644"/>
      <c r="V170" s="1644"/>
      <c r="W170" s="1374"/>
      <c r="X170" s="1374"/>
      <c r="Y170" s="1374"/>
      <c r="Z170" s="1374"/>
      <c r="AA170" s="1644"/>
      <c r="AB170" s="1374"/>
      <c r="AC170" s="1374"/>
      <c r="AD170" s="552"/>
      <c r="AE170" s="1374"/>
      <c r="AF170" s="1374"/>
      <c r="AG170" s="1374"/>
      <c r="AH170" s="1374"/>
      <c r="AI170" s="1374"/>
      <c r="AJ170" s="1640"/>
      <c r="AK170" s="630"/>
      <c r="AL170" s="630"/>
      <c r="AM170" s="630"/>
      <c r="AN170" s="630"/>
      <c r="AO170" s="1649">
        <v>11</v>
      </c>
    </row>
    <row s="1649" customFormat="1" customHeight="1" ht="11.549999999999999">
      <c r="A171" s="995"/>
      <c r="B171" s="995"/>
      <c r="C171" s="995"/>
      <c r="D171" s="995"/>
      <c r="E171" s="995"/>
      <c r="F171" s="1644"/>
      <c r="G171" s="1644"/>
      <c r="H171" s="359"/>
      <c r="N171" s="1649"/>
      <c r="O171" s="1649"/>
      <c r="P171" s="1649"/>
      <c r="Q171" s="1649"/>
      <c r="R171" s="1374"/>
      <c r="T171" s="1374"/>
      <c r="U171" s="1644"/>
      <c r="V171" s="1644"/>
      <c r="W171" s="1374"/>
      <c r="X171" s="1374"/>
      <c r="Y171" s="1374"/>
      <c r="Z171" s="1374"/>
      <c r="AA171" s="1644"/>
      <c r="AB171" s="1374"/>
      <c r="AC171" s="1374"/>
      <c r="AD171" s="552"/>
      <c r="AE171" s="1374"/>
      <c r="AF171" s="1374"/>
      <c r="AG171" s="1374"/>
      <c r="AH171" s="1374"/>
      <c r="AI171" s="1374"/>
      <c r="AJ171" s="1640"/>
      <c r="AK171" s="630"/>
      <c r="AL171" s="630"/>
      <c r="AM171" s="630"/>
      <c r="AN171" s="630"/>
      <c r="AO171" s="1649">
        <v>11</v>
      </c>
    </row>
    <row s="1649" customFormat="1" customHeight="1" ht="11.549999999999999">
      <c r="A172" s="995"/>
      <c r="B172" s="995"/>
      <c r="C172" s="995"/>
      <c r="D172" s="995"/>
      <c r="E172" s="995"/>
      <c r="F172" s="1644"/>
      <c r="G172" s="1644"/>
      <c r="H172" s="359"/>
      <c r="N172" s="1649"/>
      <c r="O172" s="1649"/>
      <c r="P172" s="1649"/>
      <c r="Q172" s="1649"/>
      <c r="R172" s="1374"/>
      <c r="T172" s="1374"/>
      <c r="U172" s="1644"/>
      <c r="V172" s="1644"/>
      <c r="W172" s="1374"/>
      <c r="X172" s="1374"/>
      <c r="Y172" s="1374"/>
      <c r="Z172" s="1374"/>
      <c r="AA172" s="1644"/>
      <c r="AB172" s="1374"/>
      <c r="AC172" s="1374"/>
      <c r="AD172" s="552"/>
      <c r="AE172" s="1374"/>
      <c r="AF172" s="1374"/>
      <c r="AG172" s="1374"/>
      <c r="AH172" s="1374"/>
      <c r="AI172" s="1374"/>
      <c r="AJ172" s="1640"/>
      <c r="AK172" s="630"/>
      <c r="AL172" s="630"/>
      <c r="AM172" s="630"/>
      <c r="AN172" s="630"/>
      <c r="AO172" s="1649">
        <v>11</v>
      </c>
    </row>
    <row s="1649" customFormat="1" customHeight="1" ht="11.549999999999999">
      <c r="A173" s="995"/>
      <c r="B173" s="995"/>
      <c r="C173" s="995"/>
      <c r="D173" s="995"/>
      <c r="E173" s="995"/>
      <c r="F173" s="1644"/>
      <c r="G173" s="1644"/>
      <c r="H173" s="359"/>
      <c r="N173" s="1649"/>
      <c r="O173" s="1649"/>
      <c r="P173" s="1649"/>
      <c r="Q173" s="1649"/>
      <c r="R173" s="1374"/>
      <c r="T173" s="1374"/>
      <c r="U173" s="1644"/>
      <c r="V173" s="1644"/>
      <c r="W173" s="1374"/>
      <c r="X173" s="1374"/>
      <c r="Y173" s="1374"/>
      <c r="Z173" s="1374"/>
      <c r="AA173" s="1644"/>
      <c r="AB173" s="1374"/>
      <c r="AC173" s="1374"/>
      <c r="AD173" s="552"/>
      <c r="AE173" s="1374"/>
      <c r="AF173" s="1374"/>
      <c r="AG173" s="1374"/>
      <c r="AH173" s="1374"/>
      <c r="AI173" s="1374"/>
      <c r="AJ173" s="1640"/>
      <c r="AK173" s="630"/>
      <c r="AL173" s="630"/>
      <c r="AM173" s="630"/>
      <c r="AN173" s="630"/>
      <c r="AO173" s="1649">
        <v>11</v>
      </c>
    </row>
    <row s="1649" customFormat="1" customHeight="1" ht="11.549999999999999">
      <c r="A174" s="995"/>
      <c r="B174" s="995"/>
      <c r="C174" s="995"/>
      <c r="D174" s="995"/>
      <c r="E174" s="995"/>
      <c r="F174" s="1644"/>
      <c r="G174" s="1644"/>
      <c r="H174" s="359"/>
      <c r="N174" s="1649"/>
      <c r="O174" s="1649"/>
      <c r="P174" s="1649"/>
      <c r="Q174" s="1649"/>
      <c r="R174" s="1374"/>
      <c r="T174" s="1374"/>
      <c r="U174" s="1644"/>
      <c r="V174" s="1644"/>
      <c r="W174" s="1374"/>
      <c r="X174" s="1374"/>
      <c r="Y174" s="1374"/>
      <c r="Z174" s="1374"/>
      <c r="AA174" s="1644"/>
      <c r="AB174" s="1374"/>
      <c r="AC174" s="1374"/>
      <c r="AD174" s="552"/>
      <c r="AE174" s="1374"/>
      <c r="AF174" s="1374"/>
      <c r="AG174" s="1374"/>
      <c r="AH174" s="1374"/>
      <c r="AI174" s="1374"/>
      <c r="AJ174" s="1640"/>
      <c r="AK174" s="630"/>
      <c r="AL174" s="630"/>
      <c r="AM174" s="630"/>
      <c r="AN174" s="630"/>
      <c r="AO174" s="1649">
        <v>11</v>
      </c>
    </row>
    <row s="1649" customFormat="1" customHeight="1" ht="11.549999999999999">
      <c r="A175" s="995"/>
      <c r="B175" s="995"/>
      <c r="C175" s="995"/>
      <c r="D175" s="995"/>
      <c r="E175" s="995"/>
      <c r="F175" s="1644"/>
      <c r="G175" s="1644"/>
      <c r="H175" s="359"/>
      <c r="N175" s="1649"/>
      <c r="O175" s="1649"/>
      <c r="P175" s="1649"/>
      <c r="Q175" s="1649"/>
      <c r="R175" s="1374"/>
      <c r="T175" s="1374"/>
      <c r="U175" s="1644"/>
      <c r="V175" s="1644"/>
      <c r="W175" s="1374"/>
      <c r="X175" s="1374"/>
      <c r="Y175" s="1374"/>
      <c r="Z175" s="1374"/>
      <c r="AA175" s="1644"/>
      <c r="AB175" s="1374"/>
      <c r="AC175" s="1374"/>
      <c r="AD175" s="552"/>
      <c r="AE175" s="1374"/>
      <c r="AF175" s="1374"/>
      <c r="AG175" s="1374"/>
      <c r="AH175" s="1374"/>
      <c r="AI175" s="1374"/>
      <c r="AJ175" s="1640"/>
      <c r="AK175" s="630"/>
      <c r="AL175" s="630"/>
      <c r="AM175" s="630"/>
      <c r="AN175" s="630"/>
      <c r="AO175" s="1649">
        <v>11</v>
      </c>
    </row>
    <row s="1649" customFormat="1" customHeight="1" ht="11.549999999999999">
      <c r="A176" s="995"/>
      <c r="B176" s="995"/>
      <c r="C176" s="995"/>
      <c r="D176" s="995"/>
      <c r="E176" s="995"/>
      <c r="F176" s="1644"/>
      <c r="G176" s="1644"/>
      <c r="H176" s="359"/>
      <c r="N176" s="1649"/>
      <c r="O176" s="1649"/>
      <c r="P176" s="1649"/>
      <c r="Q176" s="1649"/>
      <c r="R176" s="1374"/>
      <c r="T176" s="1374"/>
      <c r="U176" s="1644"/>
      <c r="V176" s="1644"/>
      <c r="W176" s="1374"/>
      <c r="X176" s="1374"/>
      <c r="Y176" s="1374"/>
      <c r="Z176" s="1374"/>
      <c r="AA176" s="1644"/>
      <c r="AB176" s="1374"/>
      <c r="AC176" s="1374"/>
      <c r="AD176" s="552"/>
      <c r="AE176" s="1374"/>
      <c r="AF176" s="1374"/>
      <c r="AG176" s="1374"/>
      <c r="AH176" s="1374"/>
      <c r="AI176" s="1374"/>
      <c r="AJ176" s="1640"/>
      <c r="AK176" s="630"/>
      <c r="AL176" s="630"/>
      <c r="AM176" s="630"/>
      <c r="AN176" s="630"/>
      <c r="AO176" s="1649">
        <v>11</v>
      </c>
    </row>
    <row s="1649" customFormat="1" customHeight="1" ht="11.549999999999999">
      <c r="A177" s="995"/>
      <c r="B177" s="995"/>
      <c r="C177" s="995"/>
      <c r="D177" s="995"/>
      <c r="E177" s="995"/>
      <c r="F177" s="1644"/>
      <c r="G177" s="1644"/>
      <c r="H177" s="359"/>
      <c r="N177" s="1649"/>
      <c r="O177" s="1649"/>
      <c r="P177" s="1649"/>
      <c r="Q177" s="1649"/>
      <c r="R177" s="1374"/>
      <c r="T177" s="1374"/>
      <c r="U177" s="1644"/>
      <c r="V177" s="1644"/>
      <c r="W177" s="1374"/>
      <c r="X177" s="1374"/>
      <c r="Y177" s="1374"/>
      <c r="Z177" s="1374"/>
      <c r="AA177" s="1644"/>
      <c r="AB177" s="1374"/>
      <c r="AC177" s="1374"/>
      <c r="AD177" s="552"/>
      <c r="AE177" s="1374"/>
      <c r="AF177" s="1374"/>
      <c r="AG177" s="1374"/>
      <c r="AH177" s="1374"/>
      <c r="AI177" s="1374"/>
      <c r="AJ177" s="1640"/>
      <c r="AK177" s="630"/>
      <c r="AL177" s="630"/>
      <c r="AM177" s="630"/>
      <c r="AN177" s="630"/>
      <c r="AO177" s="1649">
        <v>11</v>
      </c>
    </row>
    <row s="1649" customFormat="1" customHeight="1" ht="11.549999999999999">
      <c r="A178" s="995"/>
      <c r="B178" s="995"/>
      <c r="C178" s="995"/>
      <c r="D178" s="995"/>
      <c r="E178" s="995"/>
      <c r="F178" s="1644"/>
      <c r="G178" s="1644"/>
      <c r="H178" s="359"/>
      <c r="N178" s="1649"/>
      <c r="O178" s="1649"/>
      <c r="P178" s="1649"/>
      <c r="Q178" s="1649"/>
      <c r="R178" s="1374"/>
      <c r="T178" s="1374"/>
      <c r="U178" s="1644"/>
      <c r="V178" s="1644"/>
      <c r="W178" s="1374"/>
      <c r="X178" s="1374"/>
      <c r="Y178" s="1374"/>
      <c r="Z178" s="1374"/>
      <c r="AA178" s="1644"/>
      <c r="AB178" s="1374"/>
      <c r="AC178" s="1374"/>
      <c r="AD178" s="552"/>
      <c r="AE178" s="1374"/>
      <c r="AF178" s="1374"/>
      <c r="AG178" s="1374"/>
      <c r="AH178" s="1374"/>
      <c r="AI178" s="1374"/>
      <c r="AJ178" s="1640"/>
      <c r="AK178" s="630"/>
      <c r="AL178" s="630"/>
      <c r="AM178" s="630"/>
      <c r="AN178" s="630"/>
      <c r="AO178" s="1649">
        <v>11</v>
      </c>
    </row>
    <row s="1649" customFormat="1" customHeight="1" ht="11.549999999999999">
      <c r="A179" s="995"/>
      <c r="B179" s="995"/>
      <c r="C179" s="995"/>
      <c r="D179" s="995"/>
      <c r="E179" s="995"/>
      <c r="F179" s="1644"/>
      <c r="G179" s="1644"/>
      <c r="H179" s="359"/>
      <c r="N179" s="1649"/>
      <c r="O179" s="1649"/>
      <c r="P179" s="1649"/>
      <c r="Q179" s="1649"/>
      <c r="R179" s="1374"/>
      <c r="T179" s="1374"/>
      <c r="U179" s="1644"/>
      <c r="V179" s="1644"/>
      <c r="W179" s="1374"/>
      <c r="X179" s="1374"/>
      <c r="Y179" s="1374"/>
      <c r="Z179" s="1374"/>
      <c r="AA179" s="1644"/>
      <c r="AB179" s="1374"/>
      <c r="AC179" s="1374"/>
      <c r="AD179" s="552"/>
      <c r="AE179" s="1374"/>
      <c r="AF179" s="1374"/>
      <c r="AG179" s="1374"/>
      <c r="AH179" s="1374"/>
      <c r="AI179" s="1374"/>
      <c r="AJ179" s="1640"/>
      <c r="AK179" s="630"/>
      <c r="AL179" s="630"/>
      <c r="AM179" s="630"/>
      <c r="AN179" s="630"/>
      <c r="AO179" s="1649">
        <v>11</v>
      </c>
    </row>
    <row s="1649" customFormat="1" customHeight="1" ht="11.549999999999999">
      <c r="A180" s="995"/>
      <c r="B180" s="995"/>
      <c r="C180" s="995"/>
      <c r="D180" s="995"/>
      <c r="E180" s="995"/>
      <c r="F180" s="1644"/>
      <c r="G180" s="1644"/>
      <c r="H180" s="359"/>
      <c r="N180" s="1649"/>
      <c r="O180" s="1649"/>
      <c r="P180" s="1649"/>
      <c r="Q180" s="1649"/>
      <c r="R180" s="1374"/>
      <c r="T180" s="1374"/>
      <c r="U180" s="1644"/>
      <c r="V180" s="1644"/>
      <c r="W180" s="1374"/>
      <c r="X180" s="1374"/>
      <c r="Y180" s="1374"/>
      <c r="Z180" s="1374"/>
      <c r="AA180" s="1644"/>
      <c r="AB180" s="1374"/>
      <c r="AC180" s="1374"/>
      <c r="AD180" s="552"/>
      <c r="AE180" s="1374"/>
      <c r="AF180" s="1374"/>
      <c r="AG180" s="1374"/>
      <c r="AH180" s="1374"/>
      <c r="AI180" s="1374"/>
      <c r="AJ180" s="1640"/>
      <c r="AK180" s="630"/>
      <c r="AL180" s="630"/>
      <c r="AM180" s="630"/>
      <c r="AN180" s="630"/>
      <c r="AO180" s="1649">
        <v>11</v>
      </c>
    </row>
    <row s="1649" customFormat="1" customHeight="1" ht="11.549999999999999">
      <c r="A181" s="995"/>
      <c r="B181" s="995"/>
      <c r="C181" s="995"/>
      <c r="D181" s="995"/>
      <c r="E181" s="995"/>
      <c r="F181" s="1644"/>
      <c r="G181" s="1644"/>
      <c r="H181" s="359"/>
      <c r="N181" s="1649"/>
      <c r="O181" s="1649"/>
      <c r="P181" s="1649"/>
      <c r="Q181" s="1649"/>
      <c r="R181" s="1374"/>
      <c r="T181" s="1374"/>
      <c r="U181" s="1644"/>
      <c r="V181" s="1644"/>
      <c r="W181" s="1374"/>
      <c r="X181" s="1374"/>
      <c r="Y181" s="1374"/>
      <c r="Z181" s="1374"/>
      <c r="AA181" s="1644"/>
      <c r="AB181" s="1374"/>
      <c r="AC181" s="1374"/>
      <c r="AD181" s="552"/>
      <c r="AE181" s="1374"/>
      <c r="AF181" s="1374"/>
      <c r="AG181" s="1374"/>
      <c r="AH181" s="1374"/>
      <c r="AI181" s="1374"/>
      <c r="AJ181" s="1640"/>
      <c r="AK181" s="630"/>
      <c r="AL181" s="630"/>
      <c r="AM181" s="630"/>
      <c r="AN181" s="630"/>
      <c r="AO181" s="1649">
        <v>11</v>
      </c>
    </row>
    <row s="1649" customFormat="1" customHeight="1" ht="11.549999999999999">
      <c r="A182" s="995"/>
      <c r="B182" s="995"/>
      <c r="C182" s="995"/>
      <c r="D182" s="995"/>
      <c r="E182" s="995"/>
      <c r="F182" s="1644"/>
      <c r="G182" s="1644"/>
      <c r="H182" s="359"/>
      <c r="N182" s="1649"/>
      <c r="O182" s="1649"/>
      <c r="P182" s="1649"/>
      <c r="Q182" s="1649"/>
      <c r="R182" s="1374"/>
      <c r="T182" s="1374"/>
      <c r="U182" s="1644"/>
      <c r="V182" s="1644"/>
      <c r="W182" s="1374"/>
      <c r="X182" s="1374"/>
      <c r="Y182" s="1374"/>
      <c r="Z182" s="1374"/>
      <c r="AA182" s="1644"/>
      <c r="AB182" s="1374"/>
      <c r="AC182" s="1374"/>
      <c r="AD182" s="552"/>
      <c r="AE182" s="1374"/>
      <c r="AF182" s="1374"/>
      <c r="AG182" s="1374"/>
      <c r="AH182" s="1374"/>
      <c r="AI182" s="1374"/>
      <c r="AJ182" s="1640"/>
      <c r="AK182" s="630"/>
      <c r="AL182" s="630"/>
      <c r="AM182" s="630"/>
      <c r="AN182" s="630"/>
      <c r="AO182" s="1649">
        <v>11</v>
      </c>
    </row>
    <row s="1649" customFormat="1" customHeight="1" ht="11.549999999999999">
      <c r="A183" s="995"/>
      <c r="B183" s="995"/>
      <c r="C183" s="995"/>
      <c r="D183" s="995"/>
      <c r="E183" s="995"/>
      <c r="F183" s="1644"/>
      <c r="G183" s="1644"/>
      <c r="H183" s="359"/>
      <c r="N183" s="1649"/>
      <c r="O183" s="1649"/>
      <c r="P183" s="1649"/>
      <c r="Q183" s="1649"/>
      <c r="R183" s="1374"/>
      <c r="T183" s="1374"/>
      <c r="U183" s="1644"/>
      <c r="V183" s="1644"/>
      <c r="W183" s="1374"/>
      <c r="X183" s="1374"/>
      <c r="Y183" s="1374"/>
      <c r="Z183" s="1374"/>
      <c r="AA183" s="1644"/>
      <c r="AB183" s="1374"/>
      <c r="AC183" s="1374"/>
      <c r="AD183" s="552"/>
      <c r="AE183" s="1374"/>
      <c r="AF183" s="1374"/>
      <c r="AG183" s="1374"/>
      <c r="AH183" s="1374"/>
      <c r="AI183" s="1374"/>
      <c r="AJ183" s="1640"/>
      <c r="AK183" s="630"/>
      <c r="AL183" s="630"/>
      <c r="AM183" s="630"/>
      <c r="AN183" s="630"/>
      <c r="AO183" s="1649">
        <v>11</v>
      </c>
    </row>
    <row s="1649" customFormat="1" customHeight="1" ht="11.549999999999999">
      <c r="A184" s="995"/>
      <c r="B184" s="995"/>
      <c r="C184" s="995"/>
      <c r="D184" s="995"/>
      <c r="E184" s="995"/>
      <c r="F184" s="1644"/>
      <c r="G184" s="1644"/>
      <c r="H184" s="359"/>
      <c r="N184" s="1649"/>
      <c r="O184" s="1649"/>
      <c r="P184" s="1649"/>
      <c r="Q184" s="1649"/>
      <c r="R184" s="1374"/>
      <c r="T184" s="1374"/>
      <c r="U184" s="1644"/>
      <c r="V184" s="1644"/>
      <c r="W184" s="1374"/>
      <c r="X184" s="1374"/>
      <c r="Y184" s="1374"/>
      <c r="Z184" s="1374"/>
      <c r="AA184" s="1644"/>
      <c r="AB184" s="1374"/>
      <c r="AC184" s="1374"/>
      <c r="AD184" s="552"/>
      <c r="AE184" s="1374"/>
      <c r="AF184" s="1374"/>
      <c r="AG184" s="1374"/>
      <c r="AH184" s="1374"/>
      <c r="AI184" s="1374"/>
      <c r="AJ184" s="1640"/>
      <c r="AK184" s="630"/>
      <c r="AL184" s="630"/>
      <c r="AM184" s="630"/>
      <c r="AN184" s="630"/>
      <c r="AO184" s="1649">
        <v>11</v>
      </c>
    </row>
    <row s="1649" customFormat="1" customHeight="1" ht="11.549999999999999">
      <c r="A185" s="995"/>
      <c r="B185" s="995"/>
      <c r="C185" s="995"/>
      <c r="D185" s="995"/>
      <c r="E185" s="995"/>
      <c r="F185" s="1644"/>
      <c r="G185" s="1644"/>
      <c r="H185" s="359"/>
      <c r="N185" s="1649"/>
      <c r="O185" s="1649"/>
      <c r="P185" s="1649"/>
      <c r="Q185" s="1649"/>
      <c r="R185" s="1374"/>
      <c r="T185" s="1374"/>
      <c r="U185" s="1644"/>
      <c r="V185" s="1644"/>
      <c r="W185" s="1374"/>
      <c r="X185" s="1374"/>
      <c r="Y185" s="1374"/>
      <c r="Z185" s="1374"/>
      <c r="AA185" s="1644"/>
      <c r="AB185" s="1374"/>
      <c r="AC185" s="1374"/>
      <c r="AD185" s="552"/>
      <c r="AE185" s="1374"/>
      <c r="AF185" s="1374"/>
      <c r="AG185" s="1374"/>
      <c r="AH185" s="1374"/>
      <c r="AI185" s="1374"/>
      <c r="AJ185" s="1640"/>
      <c r="AK185" s="630"/>
      <c r="AL185" s="630"/>
      <c r="AM185" s="630"/>
      <c r="AN185" s="630"/>
      <c r="AO185" s="1649">
        <v>11</v>
      </c>
    </row>
    <row s="1649" customFormat="1" customHeight="1" ht="11.549999999999999">
      <c r="A186" s="995"/>
      <c r="B186" s="995"/>
      <c r="C186" s="995"/>
      <c r="D186" s="995"/>
      <c r="E186" s="995"/>
      <c r="F186" s="1644"/>
      <c r="G186" s="1644"/>
      <c r="H186" s="359"/>
      <c r="N186" s="1649"/>
      <c r="O186" s="1649"/>
      <c r="P186" s="1649"/>
      <c r="Q186" s="1649"/>
      <c r="R186" s="1374"/>
      <c r="T186" s="1374"/>
      <c r="U186" s="1644"/>
      <c r="V186" s="1644"/>
      <c r="W186" s="1374"/>
      <c r="X186" s="1374"/>
      <c r="Y186" s="1374"/>
      <c r="Z186" s="1374"/>
      <c r="AA186" s="1644"/>
      <c r="AB186" s="1374"/>
      <c r="AC186" s="1374"/>
      <c r="AD186" s="552"/>
      <c r="AE186" s="1374"/>
      <c r="AF186" s="1374"/>
      <c r="AG186" s="1374"/>
      <c r="AH186" s="1374"/>
      <c r="AI186" s="1374"/>
      <c r="AJ186" s="1640"/>
      <c r="AK186" s="630"/>
      <c r="AL186" s="630"/>
      <c r="AM186" s="630"/>
      <c r="AN186" s="630"/>
      <c r="AO186" s="1649">
        <v>11</v>
      </c>
    </row>
    <row s="1649" customFormat="1" customHeight="1" ht="11.549999999999999">
      <c r="A187" s="995"/>
      <c r="B187" s="995"/>
      <c r="C187" s="995"/>
      <c r="D187" s="995"/>
      <c r="E187" s="995"/>
      <c r="F187" s="1644"/>
      <c r="G187" s="1644"/>
      <c r="H187" s="359"/>
      <c r="N187" s="1649"/>
      <c r="O187" s="1649"/>
      <c r="P187" s="1649"/>
      <c r="Q187" s="1649"/>
      <c r="R187" s="1374"/>
      <c r="T187" s="1374"/>
      <c r="U187" s="1644"/>
      <c r="V187" s="1644"/>
      <c r="W187" s="1374"/>
      <c r="X187" s="1374"/>
      <c r="Y187" s="1374"/>
      <c r="Z187" s="1374"/>
      <c r="AA187" s="1644"/>
      <c r="AB187" s="1374"/>
      <c r="AC187" s="1374"/>
      <c r="AD187" s="552"/>
      <c r="AE187" s="1374"/>
      <c r="AF187" s="1374"/>
      <c r="AG187" s="1374"/>
      <c r="AH187" s="1374"/>
      <c r="AI187" s="1374"/>
      <c r="AJ187" s="1640"/>
      <c r="AK187" s="630"/>
      <c r="AL187" s="630"/>
      <c r="AM187" s="630"/>
      <c r="AN187" s="630"/>
      <c r="AO187" s="1649">
        <v>11</v>
      </c>
    </row>
    <row s="1649" customFormat="1" customHeight="1" ht="11.549999999999999">
      <c r="A188" s="995"/>
      <c r="B188" s="995"/>
      <c r="C188" s="995"/>
      <c r="D188" s="995"/>
      <c r="E188" s="995"/>
      <c r="F188" s="1644"/>
      <c r="G188" s="1644"/>
      <c r="H188" s="359"/>
      <c r="N188" s="1649"/>
      <c r="O188" s="1649"/>
      <c r="P188" s="1649"/>
      <c r="Q188" s="1649"/>
      <c r="R188" s="1374"/>
      <c r="T188" s="1374"/>
      <c r="U188" s="1644"/>
      <c r="V188" s="1644"/>
      <c r="W188" s="1374"/>
      <c r="X188" s="1374"/>
      <c r="Y188" s="1374"/>
      <c r="Z188" s="1374"/>
      <c r="AA188" s="1644"/>
      <c r="AB188" s="1374"/>
      <c r="AC188" s="1374"/>
      <c r="AD188" s="552"/>
      <c r="AE188" s="1374"/>
      <c r="AF188" s="1374"/>
      <c r="AG188" s="1374"/>
      <c r="AH188" s="1374"/>
      <c r="AI188" s="1374"/>
      <c r="AJ188" s="1640"/>
      <c r="AK188" s="630"/>
      <c r="AL188" s="630"/>
      <c r="AM188" s="630"/>
      <c r="AN188" s="630"/>
      <c r="AO188" s="1649">
        <v>11</v>
      </c>
    </row>
    <row s="1649" customFormat="1" customHeight="1" ht="11.549999999999999">
      <c r="A189" s="995"/>
      <c r="B189" s="995"/>
      <c r="C189" s="995"/>
      <c r="D189" s="995"/>
      <c r="E189" s="995"/>
      <c r="F189" s="1644"/>
      <c r="G189" s="1644"/>
      <c r="H189" s="359"/>
      <c r="N189" s="1649"/>
      <c r="O189" s="1649"/>
      <c r="P189" s="1649"/>
      <c r="Q189" s="1649"/>
      <c r="R189" s="1374"/>
      <c r="T189" s="1374"/>
      <c r="U189" s="1644"/>
      <c r="V189" s="1644"/>
      <c r="W189" s="1374"/>
      <c r="X189" s="1374"/>
      <c r="Y189" s="1374"/>
      <c r="Z189" s="1374"/>
      <c r="AA189" s="1644"/>
      <c r="AB189" s="1374"/>
      <c r="AC189" s="1374"/>
      <c r="AD189" s="552"/>
      <c r="AE189" s="1374"/>
      <c r="AF189" s="1374"/>
      <c r="AG189" s="1374"/>
      <c r="AH189" s="1374"/>
      <c r="AI189" s="1374"/>
      <c r="AJ189" s="1640"/>
      <c r="AK189" s="630"/>
      <c r="AL189" s="630"/>
      <c r="AM189" s="630"/>
      <c r="AN189" s="630"/>
      <c r="AO189" s="1649">
        <v>11</v>
      </c>
    </row>
    <row customHeight="1" ht="11.549999999999999">
      <c r="N190" s="1643"/>
      <c r="O190" s="1643"/>
      <c r="P190" s="1643"/>
      <c r="Q190" s="1643"/>
      <c r="AO190" s="1639">
        <v>11</v>
      </c>
    </row>
    <row customHeight="1" ht="11.549999999999999">
      <c r="N191" s="1643"/>
      <c r="O191" s="1643"/>
      <c r="P191" s="1643"/>
      <c r="Q191" s="1643"/>
      <c r="AO191" s="1639">
        <v>11</v>
      </c>
    </row>
    <row customHeight="1" ht="11.549999999999999">
      <c r="N192" s="1643"/>
      <c r="O192" s="1643"/>
      <c r="P192" s="1643"/>
      <c r="Q192" s="1643"/>
      <c r="AO192" s="1639">
        <v>11</v>
      </c>
    </row>
    <row customHeight="1" ht="11.549999999999999">
      <c r="A193" s="998"/>
      <c r="B193" s="998"/>
      <c r="C193" s="998"/>
      <c r="D193" s="998"/>
      <c r="E193" s="998"/>
      <c r="F193" s="1639"/>
      <c r="H193" s="1639"/>
      <c r="N193" s="1643"/>
      <c r="O193" s="1643"/>
      <c r="P193" s="1643"/>
      <c r="Q193" s="1643"/>
      <c r="R193" s="1639"/>
      <c r="T193" s="1639"/>
      <c r="W193" s="1639"/>
      <c r="X193" s="1639"/>
      <c r="Y193" s="1639"/>
      <c r="Z193" s="1639"/>
      <c r="AB193" s="1639"/>
      <c r="AC193" s="1639"/>
      <c r="AD193" s="1639"/>
      <c r="AE193" s="1639"/>
      <c r="AF193" s="1639"/>
      <c r="AG193" s="1639"/>
      <c r="AH193" s="1639"/>
      <c r="AI193" s="1639"/>
      <c r="AJ193" s="1639"/>
      <c r="AK193" s="1639"/>
      <c r="AL193" s="1639"/>
      <c r="AM193" s="1639"/>
      <c r="AN193" s="1639"/>
      <c r="AO193" s="1639">
        <v>11</v>
      </c>
    </row>
    <row customHeight="1" ht="11.549999999999999">
      <c r="A194" s="998"/>
      <c r="B194" s="998"/>
      <c r="C194" s="998"/>
      <c r="D194" s="998"/>
      <c r="E194" s="998"/>
      <c r="F194" s="1639"/>
      <c r="H194" s="1639"/>
      <c r="N194" s="1643"/>
      <c r="O194" s="1643"/>
      <c r="P194" s="1643"/>
      <c r="Q194" s="1643"/>
      <c r="R194" s="1639"/>
      <c r="T194" s="1639"/>
      <c r="W194" s="1639"/>
      <c r="X194" s="1639"/>
      <c r="Y194" s="1639"/>
      <c r="Z194" s="1639"/>
      <c r="AB194" s="1639"/>
      <c r="AC194" s="1639"/>
      <c r="AD194" s="1639"/>
      <c r="AE194" s="1639"/>
      <c r="AF194" s="1639"/>
      <c r="AG194" s="1639"/>
      <c r="AH194" s="1639"/>
      <c r="AI194" s="1639"/>
      <c r="AJ194" s="1639"/>
      <c r="AK194" s="1639"/>
      <c r="AL194" s="1639"/>
      <c r="AM194" s="1639"/>
      <c r="AN194" s="1639"/>
      <c r="AO194" s="1639">
        <v>11</v>
      </c>
    </row>
    <row customHeight="1" ht="11.549999999999999">
      <c r="A195" s="998"/>
      <c r="B195" s="998"/>
      <c r="C195" s="998"/>
      <c r="D195" s="998"/>
      <c r="E195" s="998"/>
      <c r="F195" s="1639"/>
      <c r="H195" s="1639"/>
      <c r="N195" s="1643"/>
      <c r="O195" s="1643"/>
      <c r="P195" s="1643"/>
      <c r="Q195" s="1643"/>
      <c r="R195" s="1639"/>
      <c r="T195" s="1639"/>
      <c r="W195" s="1639"/>
      <c r="X195" s="1639"/>
      <c r="Y195" s="1639"/>
      <c r="Z195" s="1639"/>
      <c r="AB195" s="1639"/>
      <c r="AC195" s="1639"/>
      <c r="AD195" s="1639"/>
      <c r="AE195" s="1639"/>
      <c r="AF195" s="1639"/>
      <c r="AG195" s="1639"/>
      <c r="AH195" s="1639"/>
      <c r="AI195" s="1639"/>
      <c r="AJ195" s="1639"/>
      <c r="AK195" s="1639"/>
      <c r="AL195" s="1639"/>
      <c r="AM195" s="1639"/>
      <c r="AN195" s="1639"/>
      <c r="AO195" s="1639">
        <v>11</v>
      </c>
    </row>
    <row customHeight="1" ht="11.549999999999999">
      <c r="A196" s="998"/>
      <c r="B196" s="998"/>
      <c r="C196" s="998"/>
      <c r="D196" s="998"/>
      <c r="E196" s="998"/>
      <c r="F196" s="1639"/>
      <c r="H196" s="1639"/>
      <c r="N196" s="1643"/>
      <c r="O196" s="1643"/>
      <c r="P196" s="1643"/>
      <c r="Q196" s="1643"/>
      <c r="R196" s="1639"/>
      <c r="T196" s="1639"/>
      <c r="W196" s="1639"/>
      <c r="X196" s="1639"/>
      <c r="Y196" s="1639"/>
      <c r="Z196" s="1639"/>
      <c r="AB196" s="1639"/>
      <c r="AC196" s="1639"/>
      <c r="AD196" s="1639"/>
      <c r="AE196" s="1639"/>
      <c r="AF196" s="1639"/>
      <c r="AG196" s="1639"/>
      <c r="AH196" s="1639"/>
      <c r="AI196" s="1639"/>
      <c r="AJ196" s="1639"/>
      <c r="AK196" s="1639"/>
      <c r="AL196" s="1639"/>
      <c r="AM196" s="1639"/>
      <c r="AN196" s="1639"/>
      <c r="AO196" s="1639">
        <v>11</v>
      </c>
    </row>
    <row customHeight="1" ht="11.549999999999999">
      <c r="A197" s="998"/>
      <c r="B197" s="998"/>
      <c r="C197" s="998"/>
      <c r="D197" s="998"/>
      <c r="E197" s="998"/>
      <c r="F197" s="1639"/>
      <c r="H197" s="1639"/>
      <c r="N197" s="1643"/>
      <c r="O197" s="1643"/>
      <c r="P197" s="1643"/>
      <c r="Q197" s="1643"/>
      <c r="R197" s="1639"/>
      <c r="T197" s="1639"/>
      <c r="W197" s="1639"/>
      <c r="X197" s="1639"/>
      <c r="Y197" s="1639"/>
      <c r="Z197" s="1639"/>
      <c r="AB197" s="1639"/>
      <c r="AC197" s="1639"/>
      <c r="AD197" s="1639"/>
      <c r="AE197" s="1639"/>
      <c r="AF197" s="1639"/>
      <c r="AG197" s="1639"/>
      <c r="AH197" s="1639"/>
      <c r="AI197" s="1639"/>
      <c r="AJ197" s="1639"/>
      <c r="AK197" s="1639"/>
      <c r="AL197" s="1639"/>
      <c r="AM197" s="1639"/>
      <c r="AN197" s="1639"/>
      <c r="AO197" s="1639">
        <v>11</v>
      </c>
    </row>
    <row customHeight="1" ht="11.549999999999999">
      <c r="A198" s="998"/>
      <c r="B198" s="998"/>
      <c r="C198" s="998"/>
      <c r="D198" s="998"/>
      <c r="E198" s="998"/>
      <c r="F198" s="1639"/>
      <c r="H198" s="1639"/>
      <c r="N198" s="1643"/>
      <c r="O198" s="1643"/>
      <c r="P198" s="1643"/>
      <c r="Q198" s="1643"/>
      <c r="R198" s="1639"/>
      <c r="T198" s="1639"/>
      <c r="W198" s="1639"/>
      <c r="X198" s="1639"/>
      <c r="Y198" s="1639"/>
      <c r="Z198" s="1639"/>
      <c r="AB198" s="1639"/>
      <c r="AC198" s="1639"/>
      <c r="AD198" s="1639"/>
      <c r="AE198" s="1639"/>
      <c r="AF198" s="1639"/>
      <c r="AG198" s="1639"/>
      <c r="AH198" s="1639"/>
      <c r="AI198" s="1639"/>
      <c r="AJ198" s="1639"/>
      <c r="AK198" s="1639"/>
      <c r="AL198" s="1639"/>
      <c r="AM198" s="1639"/>
      <c r="AN198" s="1639"/>
      <c r="AO198" s="1639">
        <v>11</v>
      </c>
    </row>
    <row customHeight="1" ht="11.549999999999999">
      <c r="A199" s="998"/>
      <c r="B199" s="998"/>
      <c r="C199" s="998"/>
      <c r="D199" s="998"/>
      <c r="E199" s="998"/>
      <c r="F199" s="1639"/>
      <c r="H199" s="1639"/>
      <c r="N199" s="1643"/>
      <c r="O199" s="1643"/>
      <c r="P199" s="1643"/>
      <c r="Q199" s="1643"/>
      <c r="R199" s="1639"/>
      <c r="T199" s="1639"/>
      <c r="W199" s="1639"/>
      <c r="X199" s="1639"/>
      <c r="Y199" s="1639"/>
      <c r="Z199" s="1639"/>
      <c r="AB199" s="1639"/>
      <c r="AC199" s="1639"/>
      <c r="AD199" s="1639"/>
      <c r="AE199" s="1639"/>
      <c r="AF199" s="1639"/>
      <c r="AG199" s="1639"/>
      <c r="AH199" s="1639"/>
      <c r="AI199" s="1639"/>
      <c r="AJ199" s="1639"/>
      <c r="AK199" s="1639"/>
      <c r="AL199" s="1639"/>
      <c r="AM199" s="1639"/>
      <c r="AN199" s="1639"/>
      <c r="AO199" s="1639">
        <v>11</v>
      </c>
    </row>
    <row customHeight="1" ht="11.549999999999999">
      <c r="A200" s="998"/>
      <c r="B200" s="998"/>
      <c r="C200" s="998"/>
      <c r="D200" s="998"/>
      <c r="E200" s="998"/>
      <c r="F200" s="1639"/>
      <c r="H200" s="1639"/>
      <c r="N200" s="1643"/>
      <c r="O200" s="1643"/>
      <c r="P200" s="1643"/>
      <c r="Q200" s="1643"/>
      <c r="R200" s="1639"/>
      <c r="T200" s="1639"/>
      <c r="W200" s="1639"/>
      <c r="X200" s="1639"/>
      <c r="Y200" s="1639"/>
      <c r="Z200" s="1639"/>
      <c r="AB200" s="1639"/>
      <c r="AC200" s="1639"/>
      <c r="AD200" s="1639"/>
      <c r="AE200" s="1639"/>
      <c r="AF200" s="1639"/>
      <c r="AG200" s="1639"/>
      <c r="AH200" s="1639"/>
      <c r="AI200" s="1639"/>
      <c r="AJ200" s="1639"/>
      <c r="AK200" s="1639"/>
      <c r="AL200" s="1639"/>
      <c r="AM200" s="1639"/>
      <c r="AN200" s="1639"/>
      <c r="AO200" s="1639">
        <v>11</v>
      </c>
    </row>
    <row customHeight="1" ht="11.549999999999999">
      <c r="A201" s="998"/>
      <c r="B201" s="998"/>
      <c r="C201" s="998"/>
      <c r="D201" s="998"/>
      <c r="E201" s="998"/>
      <c r="F201" s="1639"/>
      <c r="H201" s="1639"/>
      <c r="N201" s="1643"/>
      <c r="O201" s="1643"/>
      <c r="P201" s="1643"/>
      <c r="Q201" s="1643"/>
      <c r="R201" s="1639"/>
      <c r="T201" s="1639"/>
      <c r="W201" s="1639"/>
      <c r="X201" s="1639"/>
      <c r="Y201" s="1639"/>
      <c r="Z201" s="1639"/>
      <c r="AB201" s="1639"/>
      <c r="AC201" s="1639"/>
      <c r="AD201" s="1639"/>
      <c r="AE201" s="1639"/>
      <c r="AF201" s="1639"/>
      <c r="AG201" s="1639"/>
      <c r="AH201" s="1639"/>
      <c r="AI201" s="1639"/>
      <c r="AJ201" s="1639"/>
      <c r="AK201" s="1639"/>
      <c r="AL201" s="1639"/>
      <c r="AM201" s="1639"/>
      <c r="AN201" s="1639"/>
      <c r="AO201" s="1639">
        <v>11</v>
      </c>
    </row>
    <row customHeight="1" ht="11.549999999999999">
      <c r="A202" s="998"/>
      <c r="B202" s="998"/>
      <c r="C202" s="998"/>
      <c r="D202" s="998"/>
      <c r="E202" s="998"/>
      <c r="F202" s="1639"/>
      <c r="H202" s="1639"/>
      <c r="N202" s="1643"/>
      <c r="O202" s="1643"/>
      <c r="P202" s="1643"/>
      <c r="Q202" s="1643"/>
      <c r="R202" s="1639"/>
      <c r="T202" s="1639"/>
      <c r="W202" s="1639"/>
      <c r="X202" s="1639"/>
      <c r="Y202" s="1639"/>
      <c r="Z202" s="1639"/>
      <c r="AB202" s="1639"/>
      <c r="AC202" s="1639"/>
      <c r="AD202" s="1639"/>
      <c r="AE202" s="1639"/>
      <c r="AF202" s="1639"/>
      <c r="AG202" s="1639"/>
      <c r="AH202" s="1639"/>
      <c r="AI202" s="1639"/>
      <c r="AJ202" s="1639"/>
      <c r="AK202" s="1639"/>
      <c r="AL202" s="1639"/>
      <c r="AM202" s="1639"/>
      <c r="AN202" s="1639"/>
      <c r="AO202" s="1639">
        <v>11</v>
      </c>
    </row>
    <row customHeight="1" ht="11.549999999999999">
      <c r="A203" s="998"/>
      <c r="B203" s="998"/>
      <c r="C203" s="998"/>
      <c r="D203" s="998"/>
      <c r="E203" s="998"/>
      <c r="F203" s="1639"/>
      <c r="H203" s="1639"/>
      <c r="N203" s="1643"/>
      <c r="O203" s="1643"/>
      <c r="P203" s="1643"/>
      <c r="Q203" s="1643"/>
      <c r="R203" s="1639"/>
      <c r="T203" s="1639"/>
      <c r="W203" s="1639"/>
      <c r="X203" s="1639"/>
      <c r="Y203" s="1639"/>
      <c r="Z203" s="1639"/>
      <c r="AB203" s="1639"/>
      <c r="AC203" s="1639"/>
      <c r="AD203" s="1639"/>
      <c r="AE203" s="1639"/>
      <c r="AF203" s="1639"/>
      <c r="AG203" s="1639"/>
      <c r="AH203" s="1639"/>
      <c r="AI203" s="1639"/>
      <c r="AJ203" s="1639"/>
      <c r="AK203" s="1639"/>
      <c r="AL203" s="1639"/>
      <c r="AM203" s="1639"/>
      <c r="AN203" s="1639"/>
      <c r="AO203" s="1639">
        <v>11</v>
      </c>
    </row>
    <row customHeight="1" ht="12.75" hidden="1">
      <c r="A204" s="995" t="s">
        <v>82</v>
      </c>
      <c r="B204" s="995" t="s">
        <v>168</v>
      </c>
      <c r="C204" s="995" t="s">
        <v>168</v>
      </c>
      <c r="D204" s="995" t="s">
        <v>168</v>
      </c>
      <c r="E204" s="995" t="s">
        <v>168</v>
      </c>
      <c r="F204" s="1643">
        <v>16</v>
      </c>
      <c r="G204" s="1644">
        <v>0</v>
      </c>
      <c r="H204" s="1643">
        <v>3</v>
      </c>
      <c r="I204" s="1639">
        <v>7</v>
      </c>
      <c r="J204" s="1639">
        <v>56</v>
      </c>
      <c r="K204" s="1639">
        <v>10</v>
      </c>
      <c r="L204" s="1639">
        <v>40</v>
      </c>
      <c r="M204" s="1639">
        <v>40</v>
      </c>
      <c r="N204" s="1643">
        <v>40</v>
      </c>
      <c r="O204" s="1643">
        <v>40</v>
      </c>
      <c r="P204" s="1643">
        <v>40</v>
      </c>
      <c r="Q204" s="1643">
        <v>40</v>
      </c>
      <c r="R204" s="1374">
        <v>9</v>
      </c>
      <c r="S204" s="1639">
        <v>102</v>
      </c>
      <c r="T204" s="1374">
        <v>9</v>
      </c>
      <c r="U204" s="1644">
        <v>5</v>
      </c>
      <c r="V204" s="1644">
        <v>3</v>
      </c>
      <c r="W204" s="1374">
        <v>3</v>
      </c>
      <c r="X204" s="1374">
        <v>3</v>
      </c>
      <c r="Y204" s="1374">
        <v>3</v>
      </c>
      <c r="Z204" s="1374">
        <v>3</v>
      </c>
      <c r="AA204" s="1644">
        <v>10</v>
      </c>
      <c r="AB204" s="1374">
        <v>34</v>
      </c>
      <c r="AC204" s="1374">
        <v>9</v>
      </c>
      <c r="AD204" s="552">
        <v>8</v>
      </c>
      <c r="AE204" s="1374">
        <v>8</v>
      </c>
      <c r="AF204" s="1374">
        <v>8</v>
      </c>
      <c r="AG204" s="1374">
        <v>8</v>
      </c>
      <c r="AH204" s="1374">
        <v>8</v>
      </c>
      <c r="AI204" s="1374">
        <v>8</v>
      </c>
      <c r="AJ204" s="1640">
        <v>8</v>
      </c>
      <c r="AK204" s="1640">
        <v>8</v>
      </c>
      <c r="AL204" s="1640">
        <v>8</v>
      </c>
      <c r="AM204" s="1640">
        <v>8</v>
      </c>
      <c r="AN204" s="1640">
        <v>8</v>
      </c>
      <c r="AO204" s="1639">
        <v>11</v>
      </c>
    </row>
  </sheetData>
  <sheetProtection sheet="1" sort="1" autoFilter="0" insertRows="1" insertColumns="1" deleteRows="1" deleteColumns="1"/>
  <mergeCells count="7">
    <mergeCell ref="I6:M6"/>
    <mergeCell ref="I7:M7"/>
    <mergeCell ref="J10:K10"/>
    <mergeCell ref="S10:S14"/>
    <mergeCell ref="J11:K11"/>
    <mergeCell ref="J12:K12"/>
    <mergeCell ref="I13:K13"/>
  </mergeCells>
  <dataValidations count="4">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s>
  <hyperlinks>
    <hyperlink ref="M15" r:id="rId2" xr:uid="{D831101E-ADA8-3EF3-8672-56925DF66C2D}"/>
    <hyperlink ref="N15" r:id="rId3" xr:uid="{E1C7A9DF-4FB3-5A66-A72E-DA918E84AABE}"/>
    <hyperlink ref="O15" r:id="rId4" xr:uid="{95246C9F-93FE-01EB-E4B1-3C9515FE8F0C}"/>
    <hyperlink ref="P15" r:id="rId5" xr:uid="{5363BF83-2F94-BA66-AD76-5C7B96BBDD6E}"/>
    <hyperlink ref="Q15" r:id="rId6" xr:uid="{9252BC4E-76A5-8EF5-0D1E-C4E7634C9003}"/>
    <hyperlink ref="M34" r:id="rId7" xr:uid="{2490C663-35CD-72E8-F1CC-3BCEF30B22CB}"/>
    <hyperlink ref="N34" r:id="rId8" xr:uid="{46804746-24C2-4D41-B18C-4952D10C4C0C}"/>
    <hyperlink ref="O34" r:id="rId9" xr:uid="{757C202E-04B8-B158-082E-5BF59E875884}"/>
    <hyperlink ref="P34" r:id="rId10" xr:uid="{B0A10783-593A-95BE-FEBE-90710696EA3F}"/>
    <hyperlink ref="Q34" r:id="rId11" xr:uid="{E53DCF54-42E7-05CB-47F8-FD8F180DF91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24587-90F3-D7F1-2A39-8C37B30ABD1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L10" sqref="L10"/>
    </sheetView>
  </sheetViews>
  <sheetFormatPr defaultColWidth="10.57421875" customHeight="1" defaultRowHeight="14.25"/>
  <cols>
    <col min="1" max="4" style="1643" width="10.57421875" hidden="1"/>
    <col min="5" max="5" style="2418"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58" t="s">
        <v>713</v>
      </c>
      <c r="C2" s="2058" t="s">
        <v>714</v>
      </c>
      <c r="D2" s="2057" t="s">
        <v>648</v>
      </c>
      <c r="E2" s="2063">
        <f>I2-3</f>
        <v>-3</v>
      </c>
      <c r="F2" s="2063">
        <f>J2</f>
        <v>0</v>
      </c>
      <c r="H2" s="1737" t="s">
        <v>103</v>
      </c>
      <c r="I2" s="2029"/>
      <c r="J2" s="1689"/>
      <c r="K2" s="2023" t="s">
        <v>323</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69" t="s">
        <v>715</v>
      </c>
      <c r="J5" s="2269"/>
      <c r="K5" s="2269"/>
      <c r="L5" s="2269"/>
      <c r="M5" s="274"/>
      <c r="W5" s="1639">
        <v>48</v>
      </c>
    </row>
    <row customHeight="1" ht="18">
      <c r="H6" s="384"/>
      <c r="I6" s="2270" t="str">
        <f>IF(org=0,"Не определено",org)</f>
        <v>АО "ДГК"</v>
      </c>
      <c r="J6" s="2270"/>
      <c r="K6" s="2270"/>
      <c r="L6" s="2270"/>
      <c r="M6" s="274"/>
      <c r="W6" s="1639">
        <v>17</v>
      </c>
    </row>
    <row customHeight="1" ht="14.699999999999998">
      <c r="H7" s="384"/>
      <c r="I7" s="465"/>
      <c r="J7" s="471"/>
      <c r="K7" s="471"/>
      <c r="L7" s="760"/>
      <c r="M7" s="201"/>
      <c r="W7" s="1639">
        <v>14</v>
      </c>
    </row>
    <row customHeight="1" ht="14.699999999999998">
      <c r="H8" s="384"/>
      <c r="I8" s="2407" t="s">
        <v>317</v>
      </c>
      <c r="J8" s="2408"/>
      <c r="K8" s="2408"/>
      <c r="L8" s="2409"/>
      <c r="M8" s="2410" t="s">
        <v>318</v>
      </c>
      <c r="W8" s="1639">
        <v>14</v>
      </c>
    </row>
    <row customHeight="1" ht="35.699999999999996">
      <c r="E9" s="2056" t="s">
        <v>639</v>
      </c>
      <c r="F9" s="2056" t="s">
        <v>645</v>
      </c>
      <c r="H9" s="384"/>
      <c r="I9" s="2030" t="s">
        <v>88</v>
      </c>
      <c r="J9" s="2031" t="s">
        <v>319</v>
      </c>
      <c r="K9" s="2069" t="s">
        <v>583</v>
      </c>
      <c r="L9" s="2070" t="s">
        <v>320</v>
      </c>
      <c r="M9" s="2410"/>
      <c r="W9" s="1639">
        <v>34</v>
      </c>
    </row>
    <row customHeight="1" ht="36">
      <c r="B10" s="2058" t="s">
        <v>716</v>
      </c>
      <c r="C10" s="2058" t="s">
        <v>717</v>
      </c>
      <c r="D10" s="2057" t="s">
        <v>648</v>
      </c>
      <c r="E10" s="2061" t="s">
        <v>649</v>
      </c>
      <c r="F10" s="2061" t="s">
        <v>649</v>
      </c>
      <c r="H10" s="384"/>
      <c r="I10" s="2029" t="s">
        <v>118</v>
      </c>
      <c r="J10" s="1891" t="s">
        <v>718</v>
      </c>
      <c r="K10" s="2023" t="s">
        <v>323</v>
      </c>
      <c r="L10" s="2917" t="s">
        <v>719</v>
      </c>
      <c r="M10" s="305" t="s">
        <v>720</v>
      </c>
      <c r="W10" s="1639">
        <v>34</v>
      </c>
    </row>
    <row customHeight="1" ht="50.25">
      <c r="B11" s="2058" t="s">
        <v>721</v>
      </c>
      <c r="C11" s="2058" t="s">
        <v>722</v>
      </c>
      <c r="D11" s="2057" t="s">
        <v>648</v>
      </c>
      <c r="E11" s="2061" t="s">
        <v>649</v>
      </c>
      <c r="F11" s="2061" t="s">
        <v>649</v>
      </c>
      <c r="H11" s="384"/>
      <c r="I11" s="2029" t="s">
        <v>102</v>
      </c>
      <c r="J11" s="1891" t="s">
        <v>723</v>
      </c>
      <c r="K11" s="2023" t="s">
        <v>323</v>
      </c>
      <c r="L11" s="2917" t="s">
        <v>719</v>
      </c>
      <c r="M11" s="305" t="s">
        <v>720</v>
      </c>
      <c r="W11" s="1639">
        <v>48</v>
      </c>
    </row>
    <row customHeight="1" ht="48.29999999999999">
      <c r="B12" s="2058" t="s">
        <v>724</v>
      </c>
      <c r="C12" s="2058" t="s">
        <v>725</v>
      </c>
      <c r="D12" s="2057" t="s">
        <v>648</v>
      </c>
      <c r="E12" s="2061" t="s">
        <v>649</v>
      </c>
      <c r="F12" s="2061" t="s">
        <v>649</v>
      </c>
      <c r="H12" s="1695"/>
      <c r="I12" s="2029" t="s">
        <v>90</v>
      </c>
      <c r="J12" s="2036" t="s">
        <v>726</v>
      </c>
      <c r="K12" s="2023" t="s">
        <v>323</v>
      </c>
      <c r="L12" s="2917" t="s">
        <v>719</v>
      </c>
      <c r="M12" s="305" t="s">
        <v>727</v>
      </c>
      <c r="N12" s="1632"/>
      <c r="P12" s="1639"/>
      <c r="W12" s="1639">
        <v>46</v>
      </c>
    </row>
    <row customHeight="1" ht="14.699999999999998">
      <c r="E13" s="351"/>
      <c r="H13" s="384"/>
      <c r="I13" s="355"/>
      <c r="J13" s="659" t="s">
        <v>728</v>
      </c>
      <c r="K13" s="579"/>
      <c r="L13" s="222"/>
      <c r="M13" s="305"/>
      <c r="W13" s="1639">
        <v>14</v>
      </c>
    </row>
    <row customHeight="1" ht="14.699999999999998">
      <c r="E14" s="351"/>
      <c r="H14" s="384"/>
      <c r="I14" s="1065"/>
      <c r="J14" s="1684"/>
      <c r="K14" s="1685"/>
      <c r="L14" s="1686"/>
      <c r="M14" s="2033"/>
      <c r="W14" s="1639">
        <v>14</v>
      </c>
    </row>
    <row customHeight="1" ht="14.699999999999998">
      <c r="I15" s="1688"/>
      <c r="J15" s="2406"/>
      <c r="K15" s="2406"/>
      <c r="L15" s="2406"/>
      <c r="M15" s="2406"/>
      <c r="W15" s="1639">
        <v>14</v>
      </c>
    </row>
    <row customHeight="1" ht="21" hidden="1">
      <c r="A16" s="2035" t="s">
        <v>82</v>
      </c>
      <c r="B16" s="1639">
        <v>9</v>
      </c>
      <c r="C16" s="1639">
        <v>9</v>
      </c>
      <c r="D16" s="1639">
        <v>9</v>
      </c>
      <c r="E16" s="2035" t="s">
        <v>167</v>
      </c>
      <c r="F16" s="2060" t="s">
        <v>167</v>
      </c>
      <c r="G16" s="2062"/>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hyperlinks>
    <hyperlink ref="L10" r:id="rId2" xr:uid="{A3EE6C62-4A9A-1F5B-6BDE-6F1EE2183FCC}"/>
    <hyperlink ref="L11" r:id="rId3" xr:uid="{33C93BA7-BF45-9E82-F56E-5800084637D6}"/>
    <hyperlink ref="L12" r:id="rId4" xr:uid="{7954356D-F31D-5362-5839-5914D47B043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E81B9-7493-9E11-AC78-449F34DE2A83}" mc:Ignorable="x14ac xr xr2 xr3">
  <sheetPr>
    <tabColor theme="9" tint="-0.25"/>
  </sheetPr>
  <dimension ref="A1:AJ219"/>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3" style="1643" width="40.7109375" customWidth="1"/>
    <col min="14" max="14" style="1643" width="102.00390625" customWidth="1"/>
    <col min="15" max="15" style="1374" width="9.00390625" customWidth="1"/>
    <col min="16" max="16" style="1650" width="5.00390625" customWidth="1"/>
    <col min="17" max="17" style="1650" width="3.00390625" customWidth="1"/>
    <col min="18" max="21" style="1374" width="3.00390625" customWidth="1"/>
    <col min="22" max="22" style="1650" width="10.00390625" customWidth="1"/>
    <col min="23" max="23" style="1374" width="34.00390625" customWidth="1"/>
    <col min="24" max="24" style="1374" width="9.00390625" customWidth="1"/>
    <col min="25" max="25" style="744" width="8.00390625" customWidth="1"/>
    <col min="26" max="30" style="1374" width="8.00390625" customWidth="1"/>
    <col min="31" max="35" style="1640" width="8.00390625" customWidth="1"/>
    <col min="36" max="36" style="1643" width="10.421875" hidden="1" customWidth="1"/>
  </cols>
  <sheetData>
    <row s="1374" customFormat="1" customHeight="1" ht="22.5" hidden="1">
      <c r="A1" s="995"/>
      <c r="C1" s="1644"/>
      <c r="D1" s="545"/>
      <c r="H1" s="1168">
        <v>4</v>
      </c>
      <c r="I1" s="1168">
        <v>4</v>
      </c>
      <c r="J1" s="1374">
        <v>4</v>
      </c>
      <c r="K1" s="1374">
        <v>4</v>
      </c>
      <c r="L1" s="1374">
        <v>4</v>
      </c>
      <c r="M1" s="1374">
        <v>4</v>
      </c>
      <c r="P1" s="1644"/>
      <c r="Q1" s="1644"/>
      <c r="V1" s="1644"/>
      <c r="AJ1" s="1168" t="s">
        <v>14</v>
      </c>
    </row>
    <row s="1374" customFormat="1" customHeight="1" ht="22.5" hidden="1">
      <c r="A2" s="995"/>
      <c r="C2" s="1644"/>
      <c r="D2" s="546"/>
      <c r="E2" s="1645"/>
      <c r="F2" s="548"/>
      <c r="G2" s="1647" t="s">
        <v>569</v>
      </c>
      <c r="H2" s="549"/>
      <c r="I2" s="549"/>
      <c r="J2" s="759"/>
      <c r="K2" s="759"/>
      <c r="L2" s="759"/>
      <c r="M2" s="759"/>
      <c r="N2" s="550" t="s">
        <v>729</v>
      </c>
      <c r="O2" s="551"/>
      <c r="P2" s="1644"/>
      <c r="Q2" s="1644"/>
      <c r="V2" s="1644"/>
      <c r="Y2" s="552"/>
      <c r="AE2" s="1640"/>
      <c r="AF2" s="1640"/>
      <c r="AG2" s="1640"/>
      <c r="AH2" s="1640"/>
      <c r="AI2" s="1640"/>
      <c r="AJ2" s="1168">
        <v>0</v>
      </c>
    </row>
    <row customHeight="1" ht="11.25" hidden="1">
      <c r="J3" s="1643"/>
      <c r="K3" s="1643"/>
      <c r="L3" s="1643"/>
      <c r="M3" s="1643"/>
      <c r="AJ3" s="1639">
        <v>0</v>
      </c>
    </row>
    <row s="1640" customFormat="1" customHeight="1" ht="11.25" hidden="1">
      <c r="A4" s="995"/>
      <c r="B4" s="1168"/>
      <c r="C4" s="1644"/>
      <c r="D4" s="370"/>
      <c r="J4" s="1640"/>
      <c r="K4" s="1640"/>
      <c r="L4" s="1640"/>
      <c r="M4" s="1640"/>
      <c r="N4" s="1640">
        <v>4</v>
      </c>
      <c r="O4" s="1168"/>
      <c r="P4" s="1644"/>
      <c r="Q4" s="1644"/>
      <c r="R4" s="1168"/>
      <c r="S4" s="1168"/>
      <c r="T4" s="1168"/>
      <c r="U4" s="1168"/>
      <c r="V4" s="1644"/>
      <c r="W4" s="1168"/>
      <c r="X4" s="1168"/>
      <c r="Y4" s="552"/>
      <c r="Z4" s="1168"/>
      <c r="AA4" s="1168"/>
      <c r="AB4" s="1168"/>
      <c r="AC4" s="1168"/>
      <c r="AD4" s="1168"/>
      <c r="AJ4" s="1640">
        <v>0</v>
      </c>
    </row>
    <row customHeight="1" ht="11.549999999999999">
      <c r="J5" s="1643"/>
      <c r="K5" s="1643"/>
      <c r="L5" s="1643"/>
      <c r="M5" s="1643"/>
      <c r="AJ5" s="1639">
        <v>11</v>
      </c>
    </row>
    <row customHeight="1" ht="31.5">
      <c r="E6" s="2328" t="s">
        <v>730</v>
      </c>
      <c r="F6" s="2328"/>
      <c r="G6" s="2328"/>
      <c r="H6" s="2328"/>
      <c r="I6" s="2328"/>
      <c r="J6" s="2328"/>
      <c r="K6" s="2328"/>
      <c r="L6" s="2328"/>
      <c r="M6" s="2328"/>
      <c r="N6" s="564"/>
      <c r="AJ6" s="1639">
        <v>30</v>
      </c>
    </row>
    <row customHeight="1" ht="11.549999999999999">
      <c r="E7" s="2270" t="str">
        <f>IF(org=0,"Не определено",org)</f>
        <v>АО "ДГК"</v>
      </c>
      <c r="F7" s="2270"/>
      <c r="G7" s="2270"/>
      <c r="H7" s="2270"/>
      <c r="I7" s="2270"/>
      <c r="J7" s="2270"/>
      <c r="K7" s="2270"/>
      <c r="L7" s="2270"/>
      <c r="M7" s="2270"/>
      <c r="AJ7" s="1639">
        <v>11</v>
      </c>
    </row>
    <row customHeight="1" ht="11.549999999999999">
      <c r="E8" s="1143"/>
      <c r="F8" s="1143"/>
      <c r="G8" s="1143"/>
      <c r="H8" s="1143"/>
      <c r="I8" s="1143"/>
      <c r="J8" s="1144" t="s">
        <v>22</v>
      </c>
      <c r="K8" s="1144" t="s">
        <v>22</v>
      </c>
      <c r="L8" s="1144" t="s">
        <v>22</v>
      </c>
      <c r="M8" s="1144" t="s">
        <v>22</v>
      </c>
      <c r="AJ8" s="1639">
        <v>11</v>
      </c>
    </row>
    <row s="1650" customFormat="1" customHeight="1" ht="4.2">
      <c r="A9" s="1175"/>
      <c r="D9" s="1650"/>
      <c r="H9" s="897"/>
      <c r="I9" s="897" t="s">
        <v>126</v>
      </c>
      <c r="J9" s="897" t="s">
        <v>132</v>
      </c>
      <c r="K9" s="897" t="s">
        <v>135</v>
      </c>
      <c r="L9" s="897" t="s">
        <v>137</v>
      </c>
      <c r="M9" s="897" t="s">
        <v>139</v>
      </c>
      <c r="AJ9" s="1644">
        <v>4</v>
      </c>
    </row>
    <row customHeight="1" ht="11.549999999999999">
      <c r="E10" s="719"/>
      <c r="F10" s="2388" t="s">
        <v>114</v>
      </c>
      <c r="G10" s="2389"/>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414" t="str">
        <f>IF(J9="","",INDEX(DIFFERENTIATION_UNMERGE_VD,MATCH(J9,DIFFERENTIATION_ID_DIFF,0)))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14" t="str">
        <f>IF(K9="","",INDEX(DIFFERENTIATION_UNMERGE_VD,MATCH(K9,DIFFERENTIATION_ID_DIFF,0)))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14" t="str">
        <f>IF(L9="","",INDEX(DIFFERENTIATION_UNMERGE_VD,MATCH(L9,DIFFERENTIATION_ID_DIFF,0)))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M10" s="2414"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148" t="s">
        <v>318</v>
      </c>
      <c r="AJ10" s="1639">
        <v>11</v>
      </c>
    </row>
    <row customHeight="1" ht="11.549999999999999">
      <c r="E11" s="719"/>
      <c r="F11" s="2388" t="s">
        <v>581</v>
      </c>
      <c r="G11" s="2389"/>
      <c r="H11" s="1560" t="str">
        <f>IF(H9="","",INDEX(DIFFERENTIATION_UNMERGE_AREA,MATCH(H9,DIFFERENTIATION_ID_DIFF,0)))</f>
        <v/>
      </c>
      <c r="I11" s="1560" t="str">
        <f>IF(I9="","",INDEX(DIFFERENTIATION_UNMERGE_AREA,MATCH(I9,DIFFERENTIATION_ID_DIFF,0)))</f>
        <v>Территория 1</v>
      </c>
      <c r="J11" s="2414" t="str">
        <f>IF(J9="","",INDEX(DIFFERENTIATION_UNMERGE_AREA,MATCH(J9,DIFFERENTIATION_ID_DIFF,0)))</f>
        <v>Территория 2</v>
      </c>
      <c r="K11" s="2414" t="str">
        <f>IF(K9="","",INDEX(DIFFERENTIATION_UNMERGE_AREA,MATCH(K9,DIFFERENTIATION_ID_DIFF,0)))</f>
        <v>Территория 2</v>
      </c>
      <c r="L11" s="2414" t="str">
        <f>IF(L9="","",INDEX(DIFFERENTIATION_UNMERGE_AREA,MATCH(L9,DIFFERENTIATION_ID_DIFF,0)))</f>
        <v>Территория 3</v>
      </c>
      <c r="M11" s="2414" t="str">
        <f>IF(M9="","",INDEX(DIFFERENTIATION_UNMERGE_AREA,MATCH(M9,DIFFERENTIATION_ID_DIFF,0)))</f>
        <v>Территория 3</v>
      </c>
      <c r="N11" s="2148"/>
      <c r="AJ11" s="1639">
        <v>11</v>
      </c>
    </row>
    <row customHeight="1" ht="1.05">
      <c r="E12" s="1670"/>
      <c r="F12" s="2411" t="s">
        <v>582</v>
      </c>
      <c r="G12" s="2412"/>
      <c r="H12" s="1671" t="str">
        <f>IF(H9="","",INDEX(DIFFERENTIATION_UNMERGE_SYSTEM,MATCH(H9,DIFFERENTIATION_ID_DIFF,0)))</f>
        <v/>
      </c>
      <c r="I12" s="1671" t="str">
        <f>IF(I9="","",INDEX(DIFFERENTIATION_UNMERGE_SYSTEM,MATCH(I9,DIFFERENTIATION_ID_DIFF,0)))</f>
        <v>Благовещенская ТЭЦ, ТС Благовещенск</v>
      </c>
      <c r="J12" s="1671" t="str">
        <f>IF(J9="","",INDEX(DIFFERENTIATION_UNMERGE_SYSTEM,MATCH(J9,DIFFERENTIATION_ID_DIFF,0)))</f>
        <v>Райчихинская ГРЭС, ТС Прогресс</v>
      </c>
      <c r="K12" s="1671" t="str">
        <f>IF(K9="","",INDEX(DIFFERENTIATION_UNMERGE_SYSTEM,MATCH(K9,DIFFERENTIATION_ID_DIFF,0)))</f>
        <v>Котельная (Новорайчихинск)</v>
      </c>
      <c r="L12" s="1671" t="str">
        <f>IF(L9="","",INDEX(DIFFERENTIATION_UNMERGE_SYSTEM,MATCH(L9,DIFFERENTIATION_ID_DIFF,0)))</f>
        <v>Благовещенская ТЭЦ (с. Чигири)</v>
      </c>
      <c r="M12" s="1671" t="str">
        <f>IF(M9="","",INDEX(DIFFERENTIATION_UNMERGE_SYSTEM,MATCH(M9,DIFFERENTIATION_ID_DIFF,0)))</f>
        <v>Котельная Центральная (с.Чигири)</v>
      </c>
      <c r="N12" s="2148"/>
      <c r="AJ12" s="1639">
        <v>1</v>
      </c>
    </row>
    <row customHeight="1" ht="11.549999999999999">
      <c r="E13" s="2390" t="s">
        <v>317</v>
      </c>
      <c r="F13" s="2391"/>
      <c r="G13" s="2391"/>
      <c r="H13" s="1559"/>
      <c r="I13" s="1559"/>
      <c r="J13" s="2388"/>
      <c r="K13" s="2388"/>
      <c r="L13" s="2388"/>
      <c r="M13" s="2388"/>
      <c r="N13" s="2148"/>
      <c r="AJ13" s="1639">
        <v>11</v>
      </c>
    </row>
    <row customHeight="1" ht="24">
      <c r="E14" s="1647" t="s">
        <v>88</v>
      </c>
      <c r="F14" s="1642" t="s">
        <v>319</v>
      </c>
      <c r="G14" s="1642" t="s">
        <v>583</v>
      </c>
      <c r="H14" s="1642" t="s">
        <v>320</v>
      </c>
      <c r="I14" s="1642" t="s">
        <v>320</v>
      </c>
      <c r="J14" s="2387" t="s">
        <v>320</v>
      </c>
      <c r="K14" s="2387" t="s">
        <v>320</v>
      </c>
      <c r="L14" s="2387" t="s">
        <v>320</v>
      </c>
      <c r="M14" s="2387" t="s">
        <v>320</v>
      </c>
      <c r="N14" s="2148"/>
      <c r="AJ14" s="1639">
        <v>23</v>
      </c>
    </row>
    <row customHeight="1" ht="19.95">
      <c r="D15" s="1646"/>
      <c r="E15" s="1638" t="s">
        <v>118</v>
      </c>
      <c r="F15" s="715" t="s">
        <v>731</v>
      </c>
      <c r="G15" s="1654" t="s">
        <v>569</v>
      </c>
      <c r="H15" s="565"/>
      <c r="I15" s="565"/>
      <c r="J15" s="565"/>
      <c r="K15" s="565"/>
      <c r="L15" s="565"/>
      <c r="M15" s="565"/>
      <c r="N15" s="297" t="s">
        <v>732</v>
      </c>
      <c r="O15" s="551" t="s">
        <v>652</v>
      </c>
      <c r="AJ15" s="1639">
        <v>19</v>
      </c>
    </row>
    <row customHeight="1" ht="35.699999999999996">
      <c r="D16" s="1646"/>
      <c r="E16" s="1638" t="s">
        <v>102</v>
      </c>
      <c r="F16" s="715" t="s">
        <v>733</v>
      </c>
      <c r="G16" s="1654" t="s">
        <v>569</v>
      </c>
      <c r="H16" s="566">
        <f>SUM(H17,H20,H23,H26,H29:H32,H35)</f>
        <v>0</v>
      </c>
      <c r="I16" s="566">
        <f>SUM(I17,I20,I23,I26,I29:I32,I35)</f>
        <v>0</v>
      </c>
      <c r="J16" s="566">
        <f>SUM(J17,J20,J23,J26,J29:J32,J35)</f>
        <v>0</v>
      </c>
      <c r="K16" s="566">
        <f>SUM(K17,K20,K23,K26,K29:K32,K35)</f>
        <v>0</v>
      </c>
      <c r="L16" s="566">
        <f>SUM(L17,L20,L23,L26,L29:L32,L35)</f>
        <v>0</v>
      </c>
      <c r="M16" s="566">
        <f>SUM(M17,M20,M23,M26,M29:M32,M35)</f>
        <v>0</v>
      </c>
      <c r="N16" s="297" t="s">
        <v>734</v>
      </c>
      <c r="O16" s="551" t="s">
        <v>652</v>
      </c>
      <c r="AJ16" s="1639">
        <v>34</v>
      </c>
    </row>
    <row customHeight="1" ht="19.95">
      <c r="D17" s="1646"/>
      <c r="E17" s="1672" t="s">
        <v>735</v>
      </c>
      <c r="F17" s="962" t="s">
        <v>736</v>
      </c>
      <c r="G17" s="1651" t="s">
        <v>569</v>
      </c>
      <c r="H17" s="565"/>
      <c r="I17" s="565"/>
      <c r="J17" s="565"/>
      <c r="K17" s="565"/>
      <c r="L17" s="565"/>
      <c r="M17" s="565"/>
      <c r="N17" s="297" t="s">
        <v>737</v>
      </c>
      <c r="O17" s="551"/>
      <c r="AJ17" s="1639">
        <v>19</v>
      </c>
    </row>
    <row customHeight="1" ht="24">
      <c r="D18" s="1646"/>
      <c r="E18" s="1672" t="s">
        <v>738</v>
      </c>
      <c r="F18" s="1658" t="s">
        <v>739</v>
      </c>
      <c r="G18" s="1651" t="s">
        <v>569</v>
      </c>
      <c r="H18" s="565"/>
      <c r="I18" s="565"/>
      <c r="J18" s="565"/>
      <c r="K18" s="565"/>
      <c r="L18" s="565"/>
      <c r="M18" s="565"/>
      <c r="N18" s="297" t="s">
        <v>740</v>
      </c>
      <c r="O18" s="551"/>
      <c r="AJ18" s="1639">
        <v>23</v>
      </c>
    </row>
    <row customHeight="1" ht="35.699999999999996">
      <c r="D19" s="1646"/>
      <c r="E19" s="1672" t="s">
        <v>741</v>
      </c>
      <c r="F19" s="1658" t="s">
        <v>742</v>
      </c>
      <c r="G19" s="1651" t="s">
        <v>569</v>
      </c>
      <c r="H19" s="565"/>
      <c r="I19" s="565"/>
      <c r="J19" s="565"/>
      <c r="K19" s="565"/>
      <c r="L19" s="565"/>
      <c r="M19" s="565"/>
      <c r="N19" s="297"/>
      <c r="O19" s="551"/>
      <c r="AJ19" s="1639">
        <v>34</v>
      </c>
    </row>
    <row customHeight="1" ht="19.95">
      <c r="D20" s="1646"/>
      <c r="E20" s="1672" t="s">
        <v>324</v>
      </c>
      <c r="F20" s="962" t="s">
        <v>743</v>
      </c>
      <c r="G20" s="1651" t="s">
        <v>569</v>
      </c>
      <c r="H20" s="565"/>
      <c r="I20" s="565"/>
      <c r="J20" s="565"/>
      <c r="K20" s="565"/>
      <c r="L20" s="565"/>
      <c r="M20" s="565"/>
      <c r="N20" s="297" t="s">
        <v>744</v>
      </c>
      <c r="O20" s="551"/>
      <c r="AJ20" s="1639">
        <v>19</v>
      </c>
    </row>
    <row customHeight="1" ht="19.95">
      <c r="D21" s="1646"/>
      <c r="E21" s="1672" t="s">
        <v>745</v>
      </c>
      <c r="F21" s="1658" t="s">
        <v>746</v>
      </c>
      <c r="G21" s="1651" t="s">
        <v>569</v>
      </c>
      <c r="H21" s="565"/>
      <c r="I21" s="565"/>
      <c r="J21" s="565"/>
      <c r="K21" s="565"/>
      <c r="L21" s="565"/>
      <c r="M21" s="565"/>
      <c r="N21" s="297"/>
      <c r="O21" s="551"/>
      <c r="AJ21" s="1639">
        <v>19</v>
      </c>
    </row>
    <row customHeight="1" ht="19.95">
      <c r="D22" s="1646"/>
      <c r="E22" s="1672" t="s">
        <v>747</v>
      </c>
      <c r="F22" s="1658" t="s">
        <v>748</v>
      </c>
      <c r="G22" s="1651" t="s">
        <v>569</v>
      </c>
      <c r="H22" s="565"/>
      <c r="I22" s="565"/>
      <c r="J22" s="565"/>
      <c r="K22" s="565"/>
      <c r="L22" s="565"/>
      <c r="M22" s="565"/>
      <c r="N22" s="297"/>
      <c r="O22" s="551"/>
      <c r="AJ22" s="1639">
        <v>19</v>
      </c>
    </row>
    <row customHeight="1" ht="24">
      <c r="D23" s="1646"/>
      <c r="E23" s="1672" t="s">
        <v>327</v>
      </c>
      <c r="F23" s="962" t="s">
        <v>749</v>
      </c>
      <c r="G23" s="1651" t="s">
        <v>569</v>
      </c>
      <c r="H23" s="565"/>
      <c r="I23" s="565"/>
      <c r="J23" s="565"/>
      <c r="K23" s="565"/>
      <c r="L23" s="565"/>
      <c r="M23" s="565"/>
      <c r="N23" s="297" t="s">
        <v>750</v>
      </c>
      <c r="O23" s="551"/>
      <c r="AJ23" s="1639">
        <v>23</v>
      </c>
    </row>
    <row customHeight="1" ht="19.95">
      <c r="D24" s="1646"/>
      <c r="E24" s="1672" t="s">
        <v>751</v>
      </c>
      <c r="F24" s="1658" t="s">
        <v>752</v>
      </c>
      <c r="G24" s="1651" t="s">
        <v>569</v>
      </c>
      <c r="H24" s="565"/>
      <c r="I24" s="565"/>
      <c r="J24" s="565"/>
      <c r="K24" s="565"/>
      <c r="L24" s="565"/>
      <c r="M24" s="565"/>
      <c r="N24" s="297"/>
      <c r="O24" s="551"/>
      <c r="AJ24" s="1639">
        <v>19</v>
      </c>
    </row>
    <row customHeight="1" ht="35.699999999999996">
      <c r="D25" s="1646"/>
      <c r="E25" s="1672" t="s">
        <v>753</v>
      </c>
      <c r="F25" s="1658" t="s">
        <v>754</v>
      </c>
      <c r="G25" s="1651" t="s">
        <v>569</v>
      </c>
      <c r="H25" s="565"/>
      <c r="I25" s="565"/>
      <c r="J25" s="565"/>
      <c r="K25" s="565"/>
      <c r="L25" s="565"/>
      <c r="M25" s="565"/>
      <c r="N25" s="297"/>
      <c r="O25" s="551"/>
      <c r="AJ25" s="1639">
        <v>34</v>
      </c>
    </row>
    <row customHeight="1" ht="24">
      <c r="D26" s="1646"/>
      <c r="E26" s="1672" t="s">
        <v>755</v>
      </c>
      <c r="F26" s="962" t="s">
        <v>756</v>
      </c>
      <c r="G26" s="1651" t="s">
        <v>569</v>
      </c>
      <c r="H26" s="565"/>
      <c r="I26" s="565"/>
      <c r="J26" s="565"/>
      <c r="K26" s="565"/>
      <c r="L26" s="565"/>
      <c r="M26" s="565"/>
      <c r="N26" s="297" t="s">
        <v>757</v>
      </c>
      <c r="O26" s="551"/>
      <c r="AJ26" s="1639">
        <v>23</v>
      </c>
    </row>
    <row customHeight="1" ht="19.95">
      <c r="D27" s="1646"/>
      <c r="E27" s="1682" t="s">
        <v>758</v>
      </c>
      <c r="F27" s="1658" t="s">
        <v>759</v>
      </c>
      <c r="G27" s="1662" t="s">
        <v>569</v>
      </c>
      <c r="H27" s="1683"/>
      <c r="I27" s="1683"/>
      <c r="J27" s="1683"/>
      <c r="K27" s="1683"/>
      <c r="L27" s="1683"/>
      <c r="M27" s="1683"/>
      <c r="N27" s="297"/>
      <c r="O27" s="551"/>
      <c r="AJ27" s="1639">
        <v>19</v>
      </c>
    </row>
    <row customHeight="1" ht="19.95">
      <c r="D28" s="1646"/>
      <c r="E28" s="1682" t="s">
        <v>760</v>
      </c>
      <c r="F28" s="1658" t="s">
        <v>761</v>
      </c>
      <c r="G28" s="1662" t="s">
        <v>569</v>
      </c>
      <c r="H28" s="1683"/>
      <c r="I28" s="1683"/>
      <c r="J28" s="1683"/>
      <c r="K28" s="1683"/>
      <c r="L28" s="1683"/>
      <c r="M28" s="1683"/>
      <c r="N28" s="297"/>
      <c r="O28" s="551"/>
      <c r="AJ28" s="1639">
        <v>19</v>
      </c>
    </row>
    <row customHeight="1" ht="19.95">
      <c r="D29" s="1646"/>
      <c r="E29" s="1682" t="s">
        <v>762</v>
      </c>
      <c r="F29" s="962" t="s">
        <v>763</v>
      </c>
      <c r="G29" s="1662" t="s">
        <v>569</v>
      </c>
      <c r="H29" s="1683"/>
      <c r="I29" s="1683"/>
      <c r="J29" s="1683"/>
      <c r="K29" s="1683"/>
      <c r="L29" s="1683"/>
      <c r="M29" s="1683"/>
      <c r="N29" s="297"/>
      <c r="O29" s="551"/>
      <c r="AJ29" s="1639">
        <v>19</v>
      </c>
    </row>
    <row customHeight="1" ht="19.95">
      <c r="D30" s="1646"/>
      <c r="E30" s="1682" t="s">
        <v>764</v>
      </c>
      <c r="F30" s="962" t="s">
        <v>765</v>
      </c>
      <c r="G30" s="1662" t="s">
        <v>569</v>
      </c>
      <c r="H30" s="1683"/>
      <c r="I30" s="1683"/>
      <c r="J30" s="1683"/>
      <c r="K30" s="1683"/>
      <c r="L30" s="1683"/>
      <c r="M30" s="1683"/>
      <c r="N30" s="297"/>
      <c r="O30" s="551"/>
      <c r="AJ30" s="1639">
        <v>19</v>
      </c>
    </row>
    <row customHeight="1" ht="19.95">
      <c r="D31" s="1646"/>
      <c r="E31" s="1682" t="s">
        <v>766</v>
      </c>
      <c r="F31" s="962" t="s">
        <v>767</v>
      </c>
      <c r="G31" s="1662" t="s">
        <v>569</v>
      </c>
      <c r="H31" s="1683"/>
      <c r="I31" s="1683"/>
      <c r="J31" s="1683"/>
      <c r="K31" s="1683"/>
      <c r="L31" s="1683"/>
      <c r="M31" s="1683"/>
      <c r="N31" s="297"/>
      <c r="O31" s="551"/>
      <c r="AJ31" s="1639">
        <v>19</v>
      </c>
    </row>
    <row s="1374" customFormat="1" customHeight="1" ht="35.699999999999996">
      <c r="A32" s="995"/>
      <c r="C32" s="1644"/>
      <c r="D32" s="1646"/>
      <c r="E32" s="1682" t="s">
        <v>768</v>
      </c>
      <c r="F32" s="962" t="s">
        <v>769</v>
      </c>
      <c r="G32" s="1652" t="s">
        <v>569</v>
      </c>
      <c r="H32" s="587">
        <f>SUM(H33:H34)</f>
        <v>0</v>
      </c>
      <c r="I32" s="587">
        <f>SUM(I33:I34)</f>
        <v>0</v>
      </c>
      <c r="J32" s="587">
        <f>SUM(J33:J34)</f>
        <v>0</v>
      </c>
      <c r="K32" s="587">
        <f>SUM(K33:K34)</f>
        <v>0</v>
      </c>
      <c r="L32" s="587">
        <f>SUM(L33:L34)</f>
        <v>0</v>
      </c>
      <c r="M32" s="587">
        <f>SUM(M33:M34)</f>
        <v>0</v>
      </c>
      <c r="N32" s="297" t="s">
        <v>770</v>
      </c>
      <c r="O32" s="551"/>
      <c r="P32" s="1644"/>
      <c r="Q32" s="1644"/>
      <c r="V32" s="1644"/>
      <c r="Y32" s="552"/>
      <c r="AE32" s="1640"/>
      <c r="AF32" s="1640"/>
      <c r="AG32" s="1640"/>
      <c r="AH32" s="1640"/>
      <c r="AI32" s="1640"/>
      <c r="AJ32" s="1168">
        <v>34</v>
      </c>
    </row>
    <row s="1650" customFormat="1" customHeight="1" ht="1.05">
      <c r="A33" s="1175"/>
      <c r="D33" s="556"/>
      <c r="E33" s="810" t="str">
        <f>E32&amp;".0"</f>
        <v>2.8.0</v>
      </c>
      <c r="F33" s="999"/>
      <c r="G33" s="559"/>
      <c r="H33" s="1000"/>
      <c r="I33" s="1000"/>
      <c r="J33" s="1000"/>
      <c r="K33" s="1000"/>
      <c r="L33" s="1000"/>
      <c r="M33" s="1000"/>
      <c r="N33" s="1001"/>
      <c r="AJ33" s="1644">
        <v>1</v>
      </c>
    </row>
    <row s="1374" customFormat="1" customHeight="1" ht="19.95">
      <c r="A34" s="995"/>
      <c r="C34" s="1644"/>
      <c r="D34" s="1641"/>
      <c r="E34" s="578"/>
      <c r="F34" s="1673" t="s">
        <v>594</v>
      </c>
      <c r="G34" s="580"/>
      <c r="H34" s="581"/>
      <c r="I34" s="581"/>
      <c r="J34" s="2687"/>
      <c r="K34" s="2688"/>
      <c r="L34" s="2689"/>
      <c r="M34" s="2690"/>
      <c r="N34" s="309" t="s">
        <v>771</v>
      </c>
      <c r="O34" s="551"/>
      <c r="P34" s="1644"/>
      <c r="Q34" s="1644"/>
      <c r="V34" s="1644"/>
      <c r="Y34" s="552"/>
      <c r="AE34" s="1640"/>
      <c r="AF34" s="1640"/>
      <c r="AG34" s="1640"/>
      <c r="AH34" s="1640"/>
      <c r="AI34" s="1640"/>
      <c r="AJ34" s="1168">
        <v>19</v>
      </c>
    </row>
    <row customHeight="1" ht="60">
      <c r="D35" s="1646"/>
      <c r="E35" s="1682" t="s">
        <v>772</v>
      </c>
      <c r="F35" s="962" t="s">
        <v>773</v>
      </c>
      <c r="G35" s="1662" t="s">
        <v>569</v>
      </c>
      <c r="H35" s="1683"/>
      <c r="I35" s="1683"/>
      <c r="J35" s="1683"/>
      <c r="K35" s="1683"/>
      <c r="L35" s="1683"/>
      <c r="M35" s="1683"/>
      <c r="N35" s="297" t="s">
        <v>774</v>
      </c>
      <c r="O35" s="551"/>
      <c r="AJ35" s="1639">
        <v>57</v>
      </c>
    </row>
    <row customHeight="1" ht="19.95">
      <c r="B36" s="1374"/>
      <c r="D36" s="2083"/>
      <c r="E36" s="1682" t="s">
        <v>775</v>
      </c>
      <c r="F36" s="2087" t="s">
        <v>776</v>
      </c>
      <c r="G36" s="2082" t="s">
        <v>569</v>
      </c>
      <c r="H36" s="2088"/>
      <c r="I36" s="2088"/>
      <c r="J36" s="2088"/>
      <c r="K36" s="2088"/>
      <c r="L36" s="2088"/>
      <c r="M36" s="2088"/>
      <c r="N36" s="2089" t="s">
        <v>777</v>
      </c>
      <c r="O36" s="551"/>
      <c r="R36" s="1374"/>
      <c r="S36" s="1374"/>
      <c r="T36" s="1374"/>
      <c r="U36" s="1374"/>
      <c r="W36" s="1374"/>
      <c r="X36" s="1374"/>
      <c r="Z36" s="1374"/>
      <c r="AA36" s="1374"/>
      <c r="AB36" s="1374"/>
      <c r="AC36" s="1374"/>
      <c r="AD36" s="1374"/>
      <c r="AJ36" s="1639">
        <v>19</v>
      </c>
    </row>
    <row customHeight="1" ht="19.95">
      <c r="B37" s="1374"/>
      <c r="D37" s="2083"/>
      <c r="E37" s="1682" t="s">
        <v>778</v>
      </c>
      <c r="F37" s="2087" t="s">
        <v>779</v>
      </c>
      <c r="G37" s="2082" t="s">
        <v>569</v>
      </c>
      <c r="H37" s="2088"/>
      <c r="I37" s="2088"/>
      <c r="J37" s="2088"/>
      <c r="K37" s="2088"/>
      <c r="L37" s="2088"/>
      <c r="M37" s="2088"/>
      <c r="N37" s="2089" t="s">
        <v>780</v>
      </c>
      <c r="O37" s="551"/>
      <c r="R37" s="1374"/>
      <c r="S37" s="1374"/>
      <c r="T37" s="1374"/>
      <c r="U37" s="1374"/>
      <c r="W37" s="1374"/>
      <c r="X37" s="1374"/>
      <c r="Z37" s="1374"/>
      <c r="AA37" s="1374"/>
      <c r="AB37" s="1374"/>
      <c r="AC37" s="1374"/>
      <c r="AD37" s="1374"/>
      <c r="AJ37" s="1639">
        <v>19</v>
      </c>
    </row>
    <row s="1374" customFormat="1" customHeight="1" ht="24">
      <c r="A38" s="997" t="s">
        <v>595</v>
      </c>
      <c r="C38" s="1644"/>
      <c r="D38" s="1646"/>
      <c r="E38" s="1672" t="s">
        <v>90</v>
      </c>
      <c r="F38" s="715" t="s">
        <v>781</v>
      </c>
      <c r="G38" s="1651" t="s">
        <v>569</v>
      </c>
      <c r="H38" s="565"/>
      <c r="I38" s="565"/>
      <c r="J38" s="565"/>
      <c r="K38" s="565"/>
      <c r="L38" s="565"/>
      <c r="M38" s="565"/>
      <c r="N38" s="297" t="s">
        <v>782</v>
      </c>
      <c r="O38" s="551"/>
      <c r="P38" s="1644"/>
      <c r="Q38" s="1644"/>
      <c r="V38" s="1644"/>
      <c r="Y38" s="552"/>
      <c r="AE38" s="1640"/>
      <c r="AF38" s="1640"/>
      <c r="AG38" s="1640"/>
      <c r="AH38" s="1640"/>
      <c r="AI38" s="1640"/>
      <c r="AJ38" s="1168">
        <v>23</v>
      </c>
    </row>
    <row s="1374" customFormat="1" customHeight="1" ht="35.699999999999996">
      <c r="A39" s="997"/>
      <c r="C39" s="1644"/>
      <c r="D39" s="1646"/>
      <c r="E39" s="1672" t="s">
        <v>341</v>
      </c>
      <c r="F39" s="962" t="s">
        <v>783</v>
      </c>
      <c r="G39" s="1662"/>
      <c r="H39" s="565"/>
      <c r="I39" s="565"/>
      <c r="J39" s="565"/>
      <c r="K39" s="565"/>
      <c r="L39" s="565"/>
      <c r="M39" s="565"/>
      <c r="N39" s="297"/>
      <c r="O39" s="551"/>
      <c r="P39" s="1644"/>
      <c r="Q39" s="1644"/>
      <c r="V39" s="1644"/>
      <c r="Y39" s="552"/>
      <c r="AE39" s="1640"/>
      <c r="AF39" s="1640"/>
      <c r="AG39" s="1640"/>
      <c r="AH39" s="1640"/>
      <c r="AI39" s="1640"/>
      <c r="AJ39" s="1168">
        <v>34</v>
      </c>
    </row>
    <row s="1374" customFormat="1" customHeight="1" ht="19.95">
      <c r="A40" s="995"/>
      <c r="C40" s="1644"/>
      <c r="D40" s="583"/>
      <c r="E40" s="1672" t="s">
        <v>91</v>
      </c>
      <c r="F40" s="715" t="s">
        <v>784</v>
      </c>
      <c r="G40" s="1651" t="s">
        <v>569</v>
      </c>
      <c r="H40" s="565"/>
      <c r="I40" s="565"/>
      <c r="J40" s="565"/>
      <c r="K40" s="565"/>
      <c r="L40" s="565"/>
      <c r="M40" s="565"/>
      <c r="N40" s="297" t="s">
        <v>785</v>
      </c>
      <c r="O40" s="551"/>
      <c r="P40" s="1644"/>
      <c r="Q40" s="1644"/>
      <c r="V40" s="1644"/>
      <c r="Y40" s="552"/>
      <c r="AE40" s="1640"/>
      <c r="AF40" s="1640"/>
      <c r="AG40" s="1640"/>
      <c r="AH40" s="1640"/>
      <c r="AI40" s="1640"/>
      <c r="AJ40" s="1168">
        <v>19</v>
      </c>
    </row>
    <row s="1374" customFormat="1" customHeight="1" ht="24">
      <c r="A41" s="995"/>
      <c r="C41" s="1644"/>
      <c r="D41" s="583"/>
      <c r="E41" s="1672" t="s">
        <v>786</v>
      </c>
      <c r="F41" s="962" t="s">
        <v>787</v>
      </c>
      <c r="G41" s="1662" t="s">
        <v>569</v>
      </c>
      <c r="H41" s="565"/>
      <c r="I41" s="565"/>
      <c r="J41" s="565"/>
      <c r="K41" s="565"/>
      <c r="L41" s="565"/>
      <c r="M41" s="565"/>
      <c r="N41" s="297" t="s">
        <v>788</v>
      </c>
      <c r="O41" s="551"/>
      <c r="P41" s="1644"/>
      <c r="Q41" s="1644"/>
      <c r="V41" s="1644"/>
      <c r="Y41" s="552"/>
      <c r="AE41" s="1640"/>
      <c r="AF41" s="1640"/>
      <c r="AG41" s="1640"/>
      <c r="AH41" s="1640"/>
      <c r="AI41" s="1640"/>
      <c r="AJ41" s="1168">
        <v>23</v>
      </c>
    </row>
    <row s="1374" customFormat="1" customHeight="1" ht="24">
      <c r="A42" s="995"/>
      <c r="C42" s="1644"/>
      <c r="D42" s="1646"/>
      <c r="E42" s="1672" t="s">
        <v>789</v>
      </c>
      <c r="F42" s="1658" t="s">
        <v>790</v>
      </c>
      <c r="G42" s="1651" t="s">
        <v>569</v>
      </c>
      <c r="H42" s="565"/>
      <c r="I42" s="565"/>
      <c r="J42" s="565"/>
      <c r="K42" s="565"/>
      <c r="L42" s="565"/>
      <c r="M42" s="565"/>
      <c r="N42" s="297" t="s">
        <v>791</v>
      </c>
      <c r="O42" s="551"/>
      <c r="P42" s="1644"/>
      <c r="Q42" s="1644"/>
      <c r="V42" s="1644"/>
      <c r="Y42" s="552"/>
      <c r="AE42" s="1640"/>
      <c r="AF42" s="1640"/>
      <c r="AG42" s="1640"/>
      <c r="AH42" s="1640"/>
      <c r="AI42" s="1640"/>
      <c r="AJ42" s="1168">
        <v>23</v>
      </c>
    </row>
    <row s="1374" customFormat="1" customHeight="1" ht="24">
      <c r="A43" s="995"/>
      <c r="C43" s="1644"/>
      <c r="D43" s="1646"/>
      <c r="E43" s="1672" t="s">
        <v>792</v>
      </c>
      <c r="F43" s="1658" t="s">
        <v>793</v>
      </c>
      <c r="G43" s="1651" t="s">
        <v>569</v>
      </c>
      <c r="H43" s="565"/>
      <c r="I43" s="565"/>
      <c r="J43" s="565"/>
      <c r="K43" s="565"/>
      <c r="L43" s="565"/>
      <c r="M43" s="565"/>
      <c r="N43" s="297" t="s">
        <v>794</v>
      </c>
      <c r="O43" s="551"/>
      <c r="P43" s="1644"/>
      <c r="Q43" s="1644"/>
      <c r="V43" s="1644"/>
      <c r="Y43" s="552"/>
      <c r="AE43" s="1640"/>
      <c r="AF43" s="1640"/>
      <c r="AG43" s="1640"/>
      <c r="AH43" s="1640"/>
      <c r="AI43" s="1640"/>
      <c r="AJ43" s="1168">
        <v>23</v>
      </c>
    </row>
    <row s="1374" customFormat="1" customHeight="1" ht="24">
      <c r="A44" s="995"/>
      <c r="C44" s="1644"/>
      <c r="D44" s="1646"/>
      <c r="E44" s="1672" t="s">
        <v>795</v>
      </c>
      <c r="F44" s="1658" t="s">
        <v>796</v>
      </c>
      <c r="G44" s="1651" t="s">
        <v>569</v>
      </c>
      <c r="H44" s="565"/>
      <c r="I44" s="565"/>
      <c r="J44" s="565"/>
      <c r="K44" s="565"/>
      <c r="L44" s="565"/>
      <c r="M44" s="565"/>
      <c r="N44" s="297" t="s">
        <v>797</v>
      </c>
      <c r="O44" s="551"/>
      <c r="P44" s="1644"/>
      <c r="Q44" s="1644"/>
      <c r="V44" s="1644"/>
      <c r="Y44" s="552"/>
      <c r="AE44" s="1640"/>
      <c r="AF44" s="1640"/>
      <c r="AG44" s="1640"/>
      <c r="AH44" s="1640"/>
      <c r="AI44" s="1640"/>
      <c r="AJ44" s="1168">
        <v>23</v>
      </c>
    </row>
    <row s="1374" customFormat="1" customHeight="1" ht="35.699999999999996">
      <c r="A45" s="995"/>
      <c r="C45" s="1644" t="s">
        <v>597</v>
      </c>
      <c r="D45" s="1646"/>
      <c r="E45" s="1672" t="s">
        <v>119</v>
      </c>
      <c r="F45" s="715" t="s">
        <v>650</v>
      </c>
      <c r="G45" s="1654" t="s">
        <v>798</v>
      </c>
      <c r="H45" s="409"/>
      <c r="I45" s="409"/>
      <c r="J45" s="826"/>
      <c r="K45" s="826"/>
      <c r="L45" s="826"/>
      <c r="M45" s="826"/>
      <c r="N45" s="297" t="s">
        <v>799</v>
      </c>
      <c r="O45" s="551"/>
      <c r="P45" s="1644"/>
      <c r="Q45" s="1644"/>
      <c r="V45" s="1644"/>
      <c r="Y45" s="552"/>
      <c r="AE45" s="1640"/>
      <c r="AF45" s="1640"/>
      <c r="AG45" s="1640"/>
      <c r="AH45" s="1640"/>
      <c r="AI45" s="1640"/>
      <c r="AJ45" s="1168">
        <v>34</v>
      </c>
    </row>
    <row s="1374" customFormat="1" customHeight="1" ht="35.699999999999996">
      <c r="A46" s="995"/>
      <c r="C46" s="1644"/>
      <c r="D46" s="1646"/>
      <c r="E46" s="1672" t="s">
        <v>92</v>
      </c>
      <c r="F46" s="715" t="s">
        <v>800</v>
      </c>
      <c r="G46" s="1651" t="s">
        <v>801</v>
      </c>
      <c r="H46" s="553"/>
      <c r="I46" s="553"/>
      <c r="J46" s="553"/>
      <c r="K46" s="553"/>
      <c r="L46" s="553"/>
      <c r="M46" s="553"/>
      <c r="N46" s="297" t="s">
        <v>802</v>
      </c>
      <c r="O46" s="551"/>
      <c r="P46" s="1644"/>
      <c r="Q46" s="1644"/>
      <c r="V46" s="1644"/>
      <c r="Y46" s="552"/>
      <c r="AE46" s="1640"/>
      <c r="AF46" s="1640"/>
      <c r="AG46" s="1640"/>
      <c r="AH46" s="1640"/>
      <c r="AI46" s="1640"/>
      <c r="AJ46" s="1168">
        <v>34</v>
      </c>
    </row>
    <row s="1374" customFormat="1" customHeight="1" ht="24">
      <c r="A47" s="995"/>
      <c r="C47" s="1644"/>
      <c r="D47" s="1646"/>
      <c r="E47" s="1672" t="s">
        <v>93</v>
      </c>
      <c r="F47" s="715" t="s">
        <v>803</v>
      </c>
      <c r="G47" s="1662" t="s">
        <v>804</v>
      </c>
      <c r="H47" s="553"/>
      <c r="I47" s="553"/>
      <c r="J47" s="553"/>
      <c r="K47" s="553"/>
      <c r="L47" s="553"/>
      <c r="M47" s="553"/>
      <c r="N47" s="297" t="s">
        <v>805</v>
      </c>
      <c r="O47" s="551"/>
      <c r="P47" s="1644"/>
      <c r="Q47" s="1644"/>
      <c r="V47" s="1644"/>
      <c r="Y47" s="552"/>
      <c r="AE47" s="1640"/>
      <c r="AF47" s="1640"/>
      <c r="AG47" s="1640"/>
      <c r="AH47" s="1640"/>
      <c r="AI47" s="1640"/>
      <c r="AJ47" s="1168">
        <v>23</v>
      </c>
    </row>
    <row s="1374" customFormat="1" customHeight="1" ht="19.95">
      <c r="A48" s="995"/>
      <c r="C48" s="1644"/>
      <c r="D48" s="1646"/>
      <c r="E48" s="1672" t="s">
        <v>120</v>
      </c>
      <c r="F48" s="715" t="s">
        <v>806</v>
      </c>
      <c r="G48" s="1651" t="s">
        <v>607</v>
      </c>
      <c r="H48" s="585"/>
      <c r="I48" s="585"/>
      <c r="J48" s="585"/>
      <c r="K48" s="585"/>
      <c r="L48" s="585"/>
      <c r="M48" s="585"/>
      <c r="N48" s="297"/>
      <c r="O48" s="551"/>
      <c r="P48" s="1644"/>
      <c r="Q48" s="1644"/>
      <c r="V48" s="1644"/>
      <c r="Y48" s="552"/>
      <c r="AE48" s="1640"/>
      <c r="AF48" s="1640"/>
      <c r="AG48" s="1640"/>
      <c r="AH48" s="1640"/>
      <c r="AI48" s="1640"/>
      <c r="AJ48" s="1168">
        <v>19</v>
      </c>
    </row>
    <row customHeight="1" ht="11.549999999999999">
      <c r="D49" s="1646"/>
      <c r="J49" s="1643"/>
      <c r="K49" s="1643"/>
      <c r="L49" s="1643"/>
      <c r="M49" s="1643"/>
      <c r="AJ49" s="1639">
        <v>11</v>
      </c>
    </row>
    <row s="1649" customFormat="1" customHeight="1" ht="11.549999999999999">
      <c r="A50" s="995"/>
      <c r="B50" s="1644"/>
      <c r="C50" s="1644"/>
      <c r="D50" s="359"/>
      <c r="J50" s="1649"/>
      <c r="K50" s="1649"/>
      <c r="L50" s="1649"/>
      <c r="M50" s="1649"/>
      <c r="O50" s="1168"/>
      <c r="P50" s="1644"/>
      <c r="Q50" s="1644"/>
      <c r="R50" s="1168"/>
      <c r="S50" s="1168"/>
      <c r="T50" s="1168"/>
      <c r="U50" s="1168"/>
      <c r="V50" s="1644"/>
      <c r="W50" s="1168"/>
      <c r="X50" s="1168"/>
      <c r="Y50" s="552"/>
      <c r="Z50" s="1168"/>
      <c r="AA50" s="1168"/>
      <c r="AB50" s="1168"/>
      <c r="AC50" s="1168"/>
      <c r="AD50" s="1168"/>
      <c r="AE50" s="1640"/>
      <c r="AF50" s="574"/>
      <c r="AG50" s="574"/>
      <c r="AH50" s="574"/>
      <c r="AI50" s="574"/>
      <c r="AJ50" s="1649">
        <v>11</v>
      </c>
    </row>
    <row s="1649" customFormat="1" customHeight="1" ht="11.549999999999999">
      <c r="A51" s="995"/>
      <c r="B51" s="1644"/>
      <c r="C51" s="1644"/>
      <c r="D51" s="359"/>
      <c r="J51" s="1649"/>
      <c r="K51" s="1649"/>
      <c r="L51" s="1649"/>
      <c r="M51" s="1649"/>
      <c r="O51" s="1168"/>
      <c r="P51" s="1644"/>
      <c r="Q51" s="1644"/>
      <c r="R51" s="1168"/>
      <c r="S51" s="1168"/>
      <c r="T51" s="1168"/>
      <c r="U51" s="1168"/>
      <c r="V51" s="1644"/>
      <c r="W51" s="1168"/>
      <c r="X51" s="1168"/>
      <c r="Y51" s="552"/>
      <c r="Z51" s="1168"/>
      <c r="AA51" s="1168"/>
      <c r="AB51" s="1168"/>
      <c r="AC51" s="1168"/>
      <c r="AD51" s="1168"/>
      <c r="AE51" s="1640"/>
      <c r="AF51" s="574"/>
      <c r="AG51" s="574"/>
      <c r="AH51" s="574"/>
      <c r="AI51" s="574"/>
      <c r="AJ51" s="1649">
        <v>11</v>
      </c>
    </row>
    <row s="1649" customFormat="1" customHeight="1" ht="11.549999999999999">
      <c r="A52" s="995"/>
      <c r="B52" s="1644"/>
      <c r="C52" s="1644"/>
      <c r="D52" s="359"/>
      <c r="H52" s="574"/>
      <c r="I52" s="574"/>
      <c r="J52" s="630"/>
      <c r="K52" s="630"/>
      <c r="L52" s="630"/>
      <c r="M52" s="630"/>
      <c r="O52" s="1168"/>
      <c r="P52" s="1644"/>
      <c r="Q52" s="1644"/>
      <c r="R52" s="1168"/>
      <c r="S52" s="1168"/>
      <c r="T52" s="1168"/>
      <c r="U52" s="1168"/>
      <c r="V52" s="1644"/>
      <c r="W52" s="1168"/>
      <c r="X52" s="1168"/>
      <c r="Y52" s="552"/>
      <c r="Z52" s="1168"/>
      <c r="AA52" s="1168"/>
      <c r="AB52" s="1168"/>
      <c r="AC52" s="1168"/>
      <c r="AD52" s="1168"/>
      <c r="AE52" s="1640"/>
      <c r="AF52" s="574"/>
      <c r="AG52" s="574"/>
      <c r="AH52" s="574"/>
      <c r="AI52" s="574"/>
      <c r="AJ52" s="1649">
        <v>11</v>
      </c>
    </row>
    <row s="1649" customFormat="1" customHeight="1" ht="11.549999999999999">
      <c r="A53" s="995"/>
      <c r="B53" s="1644"/>
      <c r="C53" s="1644"/>
      <c r="D53" s="359"/>
      <c r="J53" s="1649"/>
      <c r="K53" s="1649"/>
      <c r="L53" s="1649"/>
      <c r="M53" s="1649"/>
      <c r="O53" s="1168"/>
      <c r="P53" s="1644"/>
      <c r="Q53" s="1644"/>
      <c r="R53" s="1168"/>
      <c r="S53" s="1168"/>
      <c r="T53" s="1168"/>
      <c r="U53" s="1168"/>
      <c r="V53" s="1644"/>
      <c r="W53" s="1168"/>
      <c r="X53" s="1168"/>
      <c r="Y53" s="552"/>
      <c r="Z53" s="1168"/>
      <c r="AA53" s="1168"/>
      <c r="AB53" s="1168"/>
      <c r="AC53" s="1168"/>
      <c r="AD53" s="1168"/>
      <c r="AE53" s="1640"/>
      <c r="AF53" s="574"/>
      <c r="AG53" s="574"/>
      <c r="AH53" s="574"/>
      <c r="AI53" s="574"/>
      <c r="AJ53" s="1649">
        <v>11</v>
      </c>
    </row>
    <row s="1649" customFormat="1" customHeight="1" ht="11.549999999999999">
      <c r="A54" s="995"/>
      <c r="B54" s="1644"/>
      <c r="C54" s="1644"/>
      <c r="D54" s="359"/>
      <c r="J54" s="1649"/>
      <c r="K54" s="1649"/>
      <c r="L54" s="1649"/>
      <c r="M54" s="1649"/>
      <c r="O54" s="1168"/>
      <c r="P54" s="1644"/>
      <c r="Q54" s="1644"/>
      <c r="R54" s="1168"/>
      <c r="S54" s="1168"/>
      <c r="T54" s="1168"/>
      <c r="U54" s="1168"/>
      <c r="V54" s="1644"/>
      <c r="W54" s="1168"/>
      <c r="X54" s="1168"/>
      <c r="Y54" s="552"/>
      <c r="Z54" s="1168"/>
      <c r="AA54" s="1168"/>
      <c r="AB54" s="1168"/>
      <c r="AC54" s="1168"/>
      <c r="AD54" s="1168"/>
      <c r="AE54" s="1640"/>
      <c r="AF54" s="574"/>
      <c r="AG54" s="574"/>
      <c r="AH54" s="574"/>
      <c r="AI54" s="574"/>
      <c r="AJ54" s="1649">
        <v>11</v>
      </c>
    </row>
    <row s="1649" customFormat="1" customHeight="1" ht="11.549999999999999">
      <c r="A55" s="995"/>
      <c r="B55" s="1644"/>
      <c r="C55" s="1644"/>
      <c r="D55" s="359"/>
      <c r="J55" s="1649"/>
      <c r="K55" s="1649"/>
      <c r="L55" s="1649"/>
      <c r="M55" s="1649"/>
      <c r="O55" s="1168"/>
      <c r="P55" s="1644"/>
      <c r="Q55" s="1644"/>
      <c r="R55" s="1168"/>
      <c r="S55" s="1168"/>
      <c r="T55" s="1168"/>
      <c r="U55" s="1168"/>
      <c r="V55" s="1644"/>
      <c r="W55" s="1168"/>
      <c r="X55" s="1168"/>
      <c r="Y55" s="552"/>
      <c r="Z55" s="1168"/>
      <c r="AA55" s="1168"/>
      <c r="AB55" s="1168"/>
      <c r="AC55" s="1168"/>
      <c r="AD55" s="1168"/>
      <c r="AE55" s="1640"/>
      <c r="AF55" s="574"/>
      <c r="AG55" s="574"/>
      <c r="AH55" s="574"/>
      <c r="AI55" s="574"/>
      <c r="AJ55" s="1649">
        <v>11</v>
      </c>
    </row>
    <row s="1649" customFormat="1" customHeight="1" ht="11.549999999999999">
      <c r="A56" s="995"/>
      <c r="B56" s="1644"/>
      <c r="C56" s="1644"/>
      <c r="D56" s="359"/>
      <c r="J56" s="1649"/>
      <c r="K56" s="1649"/>
      <c r="L56" s="1649"/>
      <c r="M56" s="1649"/>
      <c r="O56" s="1168"/>
      <c r="P56" s="1644"/>
      <c r="Q56" s="1644"/>
      <c r="R56" s="1168"/>
      <c r="S56" s="1168"/>
      <c r="T56" s="1168"/>
      <c r="U56" s="1168"/>
      <c r="V56" s="1644"/>
      <c r="W56" s="1168"/>
      <c r="X56" s="1168"/>
      <c r="Y56" s="552"/>
      <c r="Z56" s="1168"/>
      <c r="AA56" s="1168"/>
      <c r="AB56" s="1168"/>
      <c r="AC56" s="1168"/>
      <c r="AD56" s="1168"/>
      <c r="AE56" s="1640"/>
      <c r="AF56" s="574"/>
      <c r="AG56" s="574"/>
      <c r="AH56" s="574"/>
      <c r="AI56" s="574"/>
      <c r="AJ56" s="1649">
        <v>11</v>
      </c>
    </row>
    <row s="1649" customFormat="1" customHeight="1" ht="11.549999999999999">
      <c r="A57" s="995"/>
      <c r="B57" s="1644"/>
      <c r="C57" s="1644"/>
      <c r="D57" s="359"/>
      <c r="J57" s="1649"/>
      <c r="K57" s="1649"/>
      <c r="L57" s="1649"/>
      <c r="M57" s="1649"/>
      <c r="O57" s="1168"/>
      <c r="P57" s="1644"/>
      <c r="Q57" s="1644"/>
      <c r="R57" s="1168"/>
      <c r="S57" s="1168"/>
      <c r="T57" s="1168"/>
      <c r="U57" s="1168"/>
      <c r="V57" s="1644"/>
      <c r="W57" s="1168"/>
      <c r="X57" s="1168"/>
      <c r="Y57" s="552"/>
      <c r="Z57" s="1168"/>
      <c r="AA57" s="1168"/>
      <c r="AB57" s="1168"/>
      <c r="AC57" s="1168"/>
      <c r="AD57" s="1168"/>
      <c r="AE57" s="1640"/>
      <c r="AF57" s="574"/>
      <c r="AG57" s="574"/>
      <c r="AH57" s="574"/>
      <c r="AI57" s="574"/>
      <c r="AJ57" s="1649">
        <v>11</v>
      </c>
    </row>
    <row s="1649" customFormat="1" customHeight="1" ht="11.549999999999999">
      <c r="A58" s="995"/>
      <c r="B58" s="1644"/>
      <c r="C58" s="1644"/>
      <c r="D58" s="359"/>
      <c r="J58" s="1649"/>
      <c r="K58" s="1649"/>
      <c r="L58" s="1649"/>
      <c r="M58" s="1649"/>
      <c r="O58" s="1168"/>
      <c r="P58" s="1644"/>
      <c r="Q58" s="1644"/>
      <c r="R58" s="1168"/>
      <c r="S58" s="1168"/>
      <c r="T58" s="1168"/>
      <c r="U58" s="1168"/>
      <c r="V58" s="1644"/>
      <c r="W58" s="1168"/>
      <c r="X58" s="1168"/>
      <c r="Y58" s="552"/>
      <c r="Z58" s="1168"/>
      <c r="AA58" s="1168"/>
      <c r="AB58" s="1168"/>
      <c r="AC58" s="1168"/>
      <c r="AD58" s="1168"/>
      <c r="AE58" s="1640"/>
      <c r="AF58" s="574"/>
      <c r="AG58" s="574"/>
      <c r="AH58" s="574"/>
      <c r="AI58" s="574"/>
      <c r="AJ58" s="1649">
        <v>11</v>
      </c>
    </row>
    <row s="1649" customFormat="1" customHeight="1" ht="11.549999999999999">
      <c r="A59" s="995"/>
      <c r="B59" s="1644"/>
      <c r="C59" s="1644"/>
      <c r="D59" s="359"/>
      <c r="J59" s="1649"/>
      <c r="K59" s="1649"/>
      <c r="L59" s="1649"/>
      <c r="M59" s="1649"/>
      <c r="O59" s="1168"/>
      <c r="P59" s="1644"/>
      <c r="Q59" s="1644"/>
      <c r="R59" s="1168"/>
      <c r="S59" s="1168"/>
      <c r="T59" s="1168"/>
      <c r="U59" s="1168"/>
      <c r="V59" s="1644"/>
      <c r="W59" s="1168"/>
      <c r="X59" s="1168"/>
      <c r="Y59" s="552"/>
      <c r="Z59" s="1168"/>
      <c r="AA59" s="1168"/>
      <c r="AB59" s="1168"/>
      <c r="AC59" s="1168"/>
      <c r="AD59" s="1168"/>
      <c r="AE59" s="1640"/>
      <c r="AF59" s="574"/>
      <c r="AG59" s="574"/>
      <c r="AH59" s="574"/>
      <c r="AI59" s="574"/>
      <c r="AJ59" s="1649">
        <v>11</v>
      </c>
    </row>
    <row s="1649" customFormat="1" customHeight="1" ht="11.549999999999999">
      <c r="A60" s="995"/>
      <c r="B60" s="1644"/>
      <c r="C60" s="1644"/>
      <c r="D60" s="359"/>
      <c r="J60" s="1649"/>
      <c r="K60" s="1649"/>
      <c r="L60" s="1649"/>
      <c r="M60" s="1649"/>
      <c r="O60" s="1168"/>
      <c r="P60" s="1644"/>
      <c r="Q60" s="1644"/>
      <c r="R60" s="1168"/>
      <c r="S60" s="1168"/>
      <c r="T60" s="1168"/>
      <c r="U60" s="1168"/>
      <c r="V60" s="1644"/>
      <c r="W60" s="1168"/>
      <c r="X60" s="1168"/>
      <c r="Y60" s="552"/>
      <c r="Z60" s="1168"/>
      <c r="AA60" s="1168"/>
      <c r="AB60" s="1168"/>
      <c r="AC60" s="1168"/>
      <c r="AD60" s="1168"/>
      <c r="AE60" s="1640"/>
      <c r="AF60" s="574"/>
      <c r="AG60" s="574"/>
      <c r="AH60" s="574"/>
      <c r="AI60" s="574"/>
      <c r="AJ60" s="1649">
        <v>11</v>
      </c>
    </row>
    <row s="1649" customFormat="1" customHeight="1" ht="11.549999999999999">
      <c r="A61" s="995"/>
      <c r="B61" s="1644"/>
      <c r="C61" s="1644"/>
      <c r="D61" s="359"/>
      <c r="J61" s="1649"/>
      <c r="K61" s="1649"/>
      <c r="L61" s="1649"/>
      <c r="M61" s="1649"/>
      <c r="O61" s="1168"/>
      <c r="P61" s="1644"/>
      <c r="Q61" s="1644"/>
      <c r="R61" s="1168"/>
      <c r="S61" s="1168"/>
      <c r="T61" s="1168"/>
      <c r="U61" s="1168"/>
      <c r="V61" s="1644"/>
      <c r="W61" s="1168"/>
      <c r="X61" s="1168"/>
      <c r="Y61" s="552"/>
      <c r="Z61" s="1168"/>
      <c r="AA61" s="1168"/>
      <c r="AB61" s="1168"/>
      <c r="AC61" s="1168"/>
      <c r="AD61" s="1168"/>
      <c r="AE61" s="1640"/>
      <c r="AF61" s="574"/>
      <c r="AG61" s="574"/>
      <c r="AH61" s="574"/>
      <c r="AI61" s="574"/>
      <c r="AJ61" s="1649">
        <v>11</v>
      </c>
    </row>
    <row s="1649" customFormat="1" customHeight="1" ht="11.549999999999999">
      <c r="A62" s="995"/>
      <c r="B62" s="1644"/>
      <c r="C62" s="1644"/>
      <c r="D62" s="359"/>
      <c r="J62" s="1649"/>
      <c r="K62" s="1649"/>
      <c r="L62" s="1649"/>
      <c r="M62" s="1649"/>
      <c r="O62" s="1168"/>
      <c r="P62" s="1644"/>
      <c r="Q62" s="1644"/>
      <c r="R62" s="1168"/>
      <c r="S62" s="1168"/>
      <c r="T62" s="1168"/>
      <c r="U62" s="1168"/>
      <c r="V62" s="1644"/>
      <c r="W62" s="1168"/>
      <c r="X62" s="1168"/>
      <c r="Y62" s="552"/>
      <c r="Z62" s="1168"/>
      <c r="AA62" s="1168"/>
      <c r="AB62" s="1168"/>
      <c r="AC62" s="1168"/>
      <c r="AD62" s="1168"/>
      <c r="AE62" s="1640"/>
      <c r="AF62" s="574"/>
      <c r="AG62" s="574"/>
      <c r="AH62" s="574"/>
      <c r="AI62" s="574"/>
      <c r="AJ62" s="1649">
        <v>11</v>
      </c>
    </row>
    <row s="1649" customFormat="1" customHeight="1" ht="11.549999999999999">
      <c r="A63" s="995"/>
      <c r="B63" s="1644"/>
      <c r="C63" s="1644"/>
      <c r="D63" s="359"/>
      <c r="J63" s="1649"/>
      <c r="K63" s="1649"/>
      <c r="L63" s="1649"/>
      <c r="M63" s="1649"/>
      <c r="O63" s="1168"/>
      <c r="P63" s="1644"/>
      <c r="Q63" s="1644"/>
      <c r="R63" s="1168"/>
      <c r="S63" s="1168"/>
      <c r="T63" s="1168"/>
      <c r="U63" s="1168"/>
      <c r="V63" s="1644"/>
      <c r="W63" s="1168"/>
      <c r="X63" s="1168"/>
      <c r="Y63" s="552"/>
      <c r="Z63" s="1168"/>
      <c r="AA63" s="1168"/>
      <c r="AB63" s="1168"/>
      <c r="AC63" s="1168"/>
      <c r="AD63" s="1168"/>
      <c r="AE63" s="1640"/>
      <c r="AF63" s="574"/>
      <c r="AG63" s="574"/>
      <c r="AH63" s="574"/>
      <c r="AI63" s="574"/>
      <c r="AJ63" s="1649">
        <v>11</v>
      </c>
    </row>
    <row s="1649" customFormat="1" customHeight="1" ht="11.549999999999999">
      <c r="A64" s="995"/>
      <c r="B64" s="1644"/>
      <c r="C64" s="1644"/>
      <c r="D64" s="359"/>
      <c r="J64" s="1649"/>
      <c r="K64" s="1649"/>
      <c r="L64" s="1649"/>
      <c r="M64" s="1649"/>
      <c r="O64" s="1168"/>
      <c r="P64" s="1644"/>
      <c r="Q64" s="1644"/>
      <c r="R64" s="1168"/>
      <c r="S64" s="1168"/>
      <c r="T64" s="1168"/>
      <c r="U64" s="1168"/>
      <c r="V64" s="1644"/>
      <c r="W64" s="1168"/>
      <c r="X64" s="1168"/>
      <c r="Y64" s="552"/>
      <c r="Z64" s="1168"/>
      <c r="AA64" s="1168"/>
      <c r="AB64" s="1168"/>
      <c r="AC64" s="1168"/>
      <c r="AD64" s="1168"/>
      <c r="AE64" s="1640"/>
      <c r="AF64" s="574"/>
      <c r="AG64" s="574"/>
      <c r="AH64" s="574"/>
      <c r="AI64" s="574"/>
      <c r="AJ64" s="1649">
        <v>11</v>
      </c>
    </row>
    <row s="1649" customFormat="1" customHeight="1" ht="11.549999999999999">
      <c r="A65" s="995"/>
      <c r="B65" s="1644"/>
      <c r="C65" s="1644"/>
      <c r="D65" s="359"/>
      <c r="J65" s="1649"/>
      <c r="K65" s="1649"/>
      <c r="L65" s="1649"/>
      <c r="M65" s="1649"/>
      <c r="O65" s="1168"/>
      <c r="P65" s="1644"/>
      <c r="Q65" s="1644"/>
      <c r="R65" s="1168"/>
      <c r="S65" s="1168"/>
      <c r="T65" s="1168"/>
      <c r="U65" s="1168"/>
      <c r="V65" s="1644"/>
      <c r="W65" s="1168"/>
      <c r="X65" s="1168"/>
      <c r="Y65" s="552"/>
      <c r="Z65" s="1168"/>
      <c r="AA65" s="1168"/>
      <c r="AB65" s="1168"/>
      <c r="AC65" s="1168"/>
      <c r="AD65" s="1168"/>
      <c r="AE65" s="1640"/>
      <c r="AF65" s="574"/>
      <c r="AG65" s="574"/>
      <c r="AH65" s="574"/>
      <c r="AI65" s="574"/>
      <c r="AJ65" s="1649">
        <v>11</v>
      </c>
    </row>
    <row s="1649" customFormat="1" customHeight="1" ht="11.549999999999999">
      <c r="A66" s="995"/>
      <c r="B66" s="1644"/>
      <c r="C66" s="1644"/>
      <c r="D66" s="359"/>
      <c r="J66" s="1649"/>
      <c r="K66" s="1649"/>
      <c r="L66" s="1649"/>
      <c r="M66" s="1649"/>
      <c r="O66" s="1168"/>
      <c r="P66" s="1644"/>
      <c r="Q66" s="1644"/>
      <c r="R66" s="1168"/>
      <c r="S66" s="1168"/>
      <c r="T66" s="1168"/>
      <c r="U66" s="1168"/>
      <c r="V66" s="1644"/>
      <c r="W66" s="1168"/>
      <c r="X66" s="1168"/>
      <c r="Y66" s="552"/>
      <c r="Z66" s="1168"/>
      <c r="AA66" s="1168"/>
      <c r="AB66" s="1168"/>
      <c r="AC66" s="1168"/>
      <c r="AD66" s="1168"/>
      <c r="AE66" s="1640"/>
      <c r="AF66" s="574"/>
      <c r="AG66" s="574"/>
      <c r="AH66" s="574"/>
      <c r="AI66" s="574"/>
      <c r="AJ66" s="1649">
        <v>11</v>
      </c>
    </row>
    <row s="1649" customFormat="1" customHeight="1" ht="11.549999999999999">
      <c r="A67" s="995"/>
      <c r="B67" s="1644"/>
      <c r="C67" s="1644"/>
      <c r="D67" s="359"/>
      <c r="J67" s="1649"/>
      <c r="K67" s="1649"/>
      <c r="L67" s="1649"/>
      <c r="M67" s="1649"/>
      <c r="O67" s="1168"/>
      <c r="P67" s="1644"/>
      <c r="Q67" s="1644"/>
      <c r="R67" s="1168"/>
      <c r="S67" s="1168"/>
      <c r="T67" s="1168"/>
      <c r="U67" s="1168"/>
      <c r="V67" s="1644"/>
      <c r="W67" s="1168"/>
      <c r="X67" s="1168"/>
      <c r="Y67" s="552"/>
      <c r="Z67" s="1168"/>
      <c r="AA67" s="1168"/>
      <c r="AB67" s="1168"/>
      <c r="AC67" s="1168"/>
      <c r="AD67" s="1168"/>
      <c r="AE67" s="1640"/>
      <c r="AF67" s="574"/>
      <c r="AG67" s="574"/>
      <c r="AH67" s="574"/>
      <c r="AI67" s="574"/>
      <c r="AJ67" s="1649">
        <v>11</v>
      </c>
    </row>
    <row s="1649" customFormat="1" customHeight="1" ht="11.549999999999999">
      <c r="A68" s="995"/>
      <c r="B68" s="1644"/>
      <c r="C68" s="1644"/>
      <c r="D68" s="359"/>
      <c r="J68" s="1649"/>
      <c r="K68" s="1649"/>
      <c r="L68" s="1649"/>
      <c r="M68" s="1649"/>
      <c r="O68" s="1168"/>
      <c r="P68" s="1644"/>
      <c r="Q68" s="1644"/>
      <c r="R68" s="1168"/>
      <c r="S68" s="1168"/>
      <c r="T68" s="1168"/>
      <c r="U68" s="1168"/>
      <c r="V68" s="1644"/>
      <c r="W68" s="1168"/>
      <c r="X68" s="1168"/>
      <c r="Y68" s="552"/>
      <c r="Z68" s="1168"/>
      <c r="AA68" s="1168"/>
      <c r="AB68" s="1168"/>
      <c r="AC68" s="1168"/>
      <c r="AD68" s="1168"/>
      <c r="AE68" s="1640"/>
      <c r="AF68" s="574"/>
      <c r="AG68" s="574"/>
      <c r="AH68" s="574"/>
      <c r="AI68" s="574"/>
      <c r="AJ68" s="1649">
        <v>11</v>
      </c>
    </row>
    <row s="1649" customFormat="1" customHeight="1" ht="11.549999999999999">
      <c r="A69" s="995"/>
      <c r="B69" s="1644"/>
      <c r="C69" s="1644"/>
      <c r="D69" s="359"/>
      <c r="J69" s="1649"/>
      <c r="K69" s="1649"/>
      <c r="L69" s="1649"/>
      <c r="M69" s="1649"/>
      <c r="O69" s="1168"/>
      <c r="P69" s="1644"/>
      <c r="Q69" s="1644"/>
      <c r="R69" s="1168"/>
      <c r="S69" s="1168"/>
      <c r="T69" s="1168"/>
      <c r="U69" s="1168"/>
      <c r="V69" s="1644"/>
      <c r="W69" s="1168"/>
      <c r="X69" s="1168"/>
      <c r="Y69" s="552"/>
      <c r="Z69" s="1168"/>
      <c r="AA69" s="1168"/>
      <c r="AB69" s="1168"/>
      <c r="AC69" s="1168"/>
      <c r="AD69" s="1168"/>
      <c r="AE69" s="1640"/>
      <c r="AF69" s="574"/>
      <c r="AG69" s="574"/>
      <c r="AH69" s="574"/>
      <c r="AI69" s="574"/>
      <c r="AJ69" s="1649">
        <v>11</v>
      </c>
    </row>
    <row s="1649" customFormat="1" customHeight="1" ht="11.549999999999999">
      <c r="A70" s="995"/>
      <c r="B70" s="1644"/>
      <c r="C70" s="1644"/>
      <c r="D70" s="359"/>
      <c r="J70" s="1649"/>
      <c r="K70" s="1649"/>
      <c r="L70" s="1649"/>
      <c r="M70" s="1649"/>
      <c r="O70" s="1168"/>
      <c r="P70" s="1644"/>
      <c r="Q70" s="1644"/>
      <c r="R70" s="1168"/>
      <c r="S70" s="1168"/>
      <c r="T70" s="1168"/>
      <c r="U70" s="1168"/>
      <c r="V70" s="1644"/>
      <c r="W70" s="1168"/>
      <c r="X70" s="1168"/>
      <c r="Y70" s="552"/>
      <c r="Z70" s="1168"/>
      <c r="AA70" s="1168"/>
      <c r="AB70" s="1168"/>
      <c r="AC70" s="1168"/>
      <c r="AD70" s="1168"/>
      <c r="AE70" s="1640"/>
      <c r="AF70" s="574"/>
      <c r="AG70" s="574"/>
      <c r="AH70" s="574"/>
      <c r="AI70" s="574"/>
      <c r="AJ70" s="1649">
        <v>11</v>
      </c>
    </row>
    <row s="1649" customFormat="1" customHeight="1" ht="11.549999999999999">
      <c r="A71" s="995"/>
      <c r="B71" s="1644"/>
      <c r="C71" s="1644"/>
      <c r="D71" s="359"/>
      <c r="J71" s="1649"/>
      <c r="K71" s="1649"/>
      <c r="L71" s="1649"/>
      <c r="M71" s="1649"/>
      <c r="O71" s="1168"/>
      <c r="P71" s="1644"/>
      <c r="Q71" s="1644"/>
      <c r="R71" s="1168"/>
      <c r="S71" s="1168"/>
      <c r="T71" s="1168"/>
      <c r="U71" s="1168"/>
      <c r="V71" s="1644"/>
      <c r="W71" s="1168"/>
      <c r="X71" s="1168"/>
      <c r="Y71" s="552"/>
      <c r="Z71" s="1168"/>
      <c r="AA71" s="1168"/>
      <c r="AB71" s="1168"/>
      <c r="AC71" s="1168"/>
      <c r="AD71" s="1168"/>
      <c r="AE71" s="1640"/>
      <c r="AF71" s="574"/>
      <c r="AG71" s="574"/>
      <c r="AH71" s="574"/>
      <c r="AI71" s="574"/>
      <c r="AJ71" s="1649">
        <v>11</v>
      </c>
    </row>
    <row s="1649" customFormat="1" customHeight="1" ht="11.549999999999999">
      <c r="A72" s="995"/>
      <c r="B72" s="1644"/>
      <c r="C72" s="1644"/>
      <c r="D72" s="359"/>
      <c r="J72" s="1649"/>
      <c r="K72" s="1649"/>
      <c r="L72" s="1649"/>
      <c r="M72" s="1649"/>
      <c r="O72" s="1168"/>
      <c r="P72" s="1644"/>
      <c r="Q72" s="1644"/>
      <c r="R72" s="1168"/>
      <c r="S72" s="1168"/>
      <c r="T72" s="1168"/>
      <c r="U72" s="1168"/>
      <c r="V72" s="1644"/>
      <c r="W72" s="1168"/>
      <c r="X72" s="1168"/>
      <c r="Y72" s="552"/>
      <c r="Z72" s="1168"/>
      <c r="AA72" s="1168"/>
      <c r="AB72" s="1168"/>
      <c r="AC72" s="1168"/>
      <c r="AD72" s="1168"/>
      <c r="AE72" s="1640"/>
      <c r="AF72" s="574"/>
      <c r="AG72" s="574"/>
      <c r="AH72" s="574"/>
      <c r="AI72" s="574"/>
      <c r="AJ72" s="1649">
        <v>11</v>
      </c>
    </row>
    <row s="1649" customFormat="1" customHeight="1" ht="11.549999999999999">
      <c r="A73" s="995"/>
      <c r="B73" s="1644"/>
      <c r="C73" s="1644"/>
      <c r="D73" s="359"/>
      <c r="J73" s="1649"/>
      <c r="K73" s="1649"/>
      <c r="L73" s="1649"/>
      <c r="M73" s="1649"/>
      <c r="O73" s="1168"/>
      <c r="P73" s="1644"/>
      <c r="Q73" s="1644"/>
      <c r="R73" s="1168"/>
      <c r="S73" s="1168"/>
      <c r="T73" s="1168"/>
      <c r="U73" s="1168"/>
      <c r="V73" s="1644"/>
      <c r="W73" s="1168"/>
      <c r="X73" s="1168"/>
      <c r="Y73" s="552"/>
      <c r="Z73" s="1168"/>
      <c r="AA73" s="1168"/>
      <c r="AB73" s="1168"/>
      <c r="AC73" s="1168"/>
      <c r="AD73" s="1168"/>
      <c r="AE73" s="1640"/>
      <c r="AF73" s="574"/>
      <c r="AG73" s="574"/>
      <c r="AH73" s="574"/>
      <c r="AI73" s="574"/>
      <c r="AJ73" s="1649">
        <v>11</v>
      </c>
    </row>
    <row s="1649" customFormat="1" customHeight="1" ht="11.549999999999999">
      <c r="A74" s="995"/>
      <c r="B74" s="1644"/>
      <c r="C74" s="1644"/>
      <c r="D74" s="359"/>
      <c r="J74" s="1649"/>
      <c r="K74" s="1649"/>
      <c r="L74" s="1649"/>
      <c r="M74" s="1649"/>
      <c r="O74" s="1168"/>
      <c r="P74" s="1644"/>
      <c r="Q74" s="1644"/>
      <c r="R74" s="1168"/>
      <c r="S74" s="1168"/>
      <c r="T74" s="1168"/>
      <c r="U74" s="1168"/>
      <c r="V74" s="1644"/>
      <c r="W74" s="1168"/>
      <c r="X74" s="1168"/>
      <c r="Y74" s="552"/>
      <c r="Z74" s="1168"/>
      <c r="AA74" s="1168"/>
      <c r="AB74" s="1168"/>
      <c r="AC74" s="1168"/>
      <c r="AD74" s="1168"/>
      <c r="AE74" s="1640"/>
      <c r="AF74" s="574"/>
      <c r="AG74" s="574"/>
      <c r="AH74" s="574"/>
      <c r="AI74" s="574"/>
      <c r="AJ74" s="1649">
        <v>11</v>
      </c>
    </row>
    <row s="1649" customFormat="1" customHeight="1" ht="11.549999999999999">
      <c r="A75" s="995"/>
      <c r="B75" s="1644"/>
      <c r="C75" s="1644"/>
      <c r="D75" s="359"/>
      <c r="J75" s="1649"/>
      <c r="K75" s="1649"/>
      <c r="L75" s="1649"/>
      <c r="M75" s="1649"/>
      <c r="O75" s="1168"/>
      <c r="P75" s="1644"/>
      <c r="Q75" s="1644"/>
      <c r="R75" s="1168"/>
      <c r="S75" s="1168"/>
      <c r="T75" s="1168"/>
      <c r="U75" s="1168"/>
      <c r="V75" s="1644"/>
      <c r="W75" s="1168"/>
      <c r="X75" s="1168"/>
      <c r="Y75" s="552"/>
      <c r="Z75" s="1168"/>
      <c r="AA75" s="1168"/>
      <c r="AB75" s="1168"/>
      <c r="AC75" s="1168"/>
      <c r="AD75" s="1168"/>
      <c r="AE75" s="1640"/>
      <c r="AF75" s="574"/>
      <c r="AG75" s="574"/>
      <c r="AH75" s="574"/>
      <c r="AI75" s="574"/>
      <c r="AJ75" s="1649">
        <v>11</v>
      </c>
    </row>
    <row s="1649" customFormat="1" customHeight="1" ht="11.549999999999999">
      <c r="A76" s="995"/>
      <c r="B76" s="1644"/>
      <c r="C76" s="1644"/>
      <c r="D76" s="359"/>
      <c r="J76" s="1649"/>
      <c r="K76" s="1649"/>
      <c r="L76" s="1649"/>
      <c r="M76" s="1649"/>
      <c r="O76" s="1168"/>
      <c r="P76" s="1644"/>
      <c r="Q76" s="1644"/>
      <c r="R76" s="1168"/>
      <c r="S76" s="1168"/>
      <c r="T76" s="1168"/>
      <c r="U76" s="1168"/>
      <c r="V76" s="1644"/>
      <c r="W76" s="1168"/>
      <c r="X76" s="1168"/>
      <c r="Y76" s="552"/>
      <c r="Z76" s="1168"/>
      <c r="AA76" s="1168"/>
      <c r="AB76" s="1168"/>
      <c r="AC76" s="1168"/>
      <c r="AD76" s="1168"/>
      <c r="AE76" s="1640"/>
      <c r="AF76" s="574"/>
      <c r="AG76" s="574"/>
      <c r="AH76" s="574"/>
      <c r="AI76" s="574"/>
      <c r="AJ76" s="1649">
        <v>11</v>
      </c>
    </row>
    <row s="1649" customFormat="1" customHeight="1" ht="11.549999999999999">
      <c r="A77" s="995"/>
      <c r="B77" s="1644"/>
      <c r="C77" s="1644"/>
      <c r="D77" s="359"/>
      <c r="J77" s="1649"/>
      <c r="K77" s="1649"/>
      <c r="L77" s="1649"/>
      <c r="M77" s="1649"/>
      <c r="O77" s="1168"/>
      <c r="P77" s="1644"/>
      <c r="Q77" s="1644"/>
      <c r="R77" s="1168"/>
      <c r="S77" s="1168"/>
      <c r="T77" s="1168"/>
      <c r="U77" s="1168"/>
      <c r="V77" s="1644"/>
      <c r="W77" s="1168"/>
      <c r="X77" s="1168"/>
      <c r="Y77" s="552"/>
      <c r="Z77" s="1168"/>
      <c r="AA77" s="1168"/>
      <c r="AB77" s="1168"/>
      <c r="AC77" s="1168"/>
      <c r="AD77" s="1168"/>
      <c r="AE77" s="1640"/>
      <c r="AF77" s="574"/>
      <c r="AG77" s="574"/>
      <c r="AH77" s="574"/>
      <c r="AI77" s="574"/>
      <c r="AJ77" s="1649">
        <v>11</v>
      </c>
    </row>
    <row s="1649" customFormat="1" customHeight="1" ht="11.549999999999999">
      <c r="A78" s="995"/>
      <c r="B78" s="1644"/>
      <c r="C78" s="1644"/>
      <c r="D78" s="359"/>
      <c r="J78" s="1649"/>
      <c r="K78" s="1649"/>
      <c r="L78" s="1649"/>
      <c r="M78" s="1649"/>
      <c r="O78" s="1168"/>
      <c r="P78" s="1644"/>
      <c r="Q78" s="1644"/>
      <c r="R78" s="1168"/>
      <c r="S78" s="1168"/>
      <c r="T78" s="1168"/>
      <c r="U78" s="1168"/>
      <c r="V78" s="1644"/>
      <c r="W78" s="1168"/>
      <c r="X78" s="1168"/>
      <c r="Y78" s="552"/>
      <c r="Z78" s="1168"/>
      <c r="AA78" s="1168"/>
      <c r="AB78" s="1168"/>
      <c r="AC78" s="1168"/>
      <c r="AD78" s="1168"/>
      <c r="AE78" s="1640"/>
      <c r="AF78" s="574"/>
      <c r="AG78" s="574"/>
      <c r="AH78" s="574"/>
      <c r="AI78" s="574"/>
      <c r="AJ78" s="1649">
        <v>11</v>
      </c>
    </row>
    <row s="1649" customFormat="1" customHeight="1" ht="11.549999999999999">
      <c r="A79" s="995"/>
      <c r="B79" s="1644"/>
      <c r="C79" s="1644"/>
      <c r="D79" s="359"/>
      <c r="J79" s="1649"/>
      <c r="K79" s="1649"/>
      <c r="L79" s="1649"/>
      <c r="M79" s="1649"/>
      <c r="O79" s="1168"/>
      <c r="P79" s="1644"/>
      <c r="Q79" s="1644"/>
      <c r="R79" s="1168"/>
      <c r="S79" s="1168"/>
      <c r="T79" s="1168"/>
      <c r="U79" s="1168"/>
      <c r="V79" s="1644"/>
      <c r="W79" s="1168"/>
      <c r="X79" s="1168"/>
      <c r="Y79" s="552"/>
      <c r="Z79" s="1168"/>
      <c r="AA79" s="1168"/>
      <c r="AB79" s="1168"/>
      <c r="AC79" s="1168"/>
      <c r="AD79" s="1168"/>
      <c r="AE79" s="1640"/>
      <c r="AF79" s="574"/>
      <c r="AG79" s="574"/>
      <c r="AH79" s="574"/>
      <c r="AI79" s="574"/>
      <c r="AJ79" s="1649">
        <v>11</v>
      </c>
    </row>
    <row s="1649" customFormat="1" customHeight="1" ht="11.549999999999999">
      <c r="A80" s="995"/>
      <c r="B80" s="1644"/>
      <c r="C80" s="1644"/>
      <c r="D80" s="359"/>
      <c r="J80" s="1649"/>
      <c r="K80" s="1649"/>
      <c r="L80" s="1649"/>
      <c r="M80" s="1649"/>
      <c r="O80" s="1168"/>
      <c r="P80" s="1644"/>
      <c r="Q80" s="1644"/>
      <c r="R80" s="1168"/>
      <c r="S80" s="1168"/>
      <c r="T80" s="1168"/>
      <c r="U80" s="1168"/>
      <c r="V80" s="1644"/>
      <c r="W80" s="1168"/>
      <c r="X80" s="1168"/>
      <c r="Y80" s="552"/>
      <c r="Z80" s="1168"/>
      <c r="AA80" s="1168"/>
      <c r="AB80" s="1168"/>
      <c r="AC80" s="1168"/>
      <c r="AD80" s="1168"/>
      <c r="AE80" s="1640"/>
      <c r="AF80" s="574"/>
      <c r="AG80" s="574"/>
      <c r="AH80" s="574"/>
      <c r="AI80" s="574"/>
      <c r="AJ80" s="1649">
        <v>11</v>
      </c>
    </row>
    <row s="1649" customFormat="1" customHeight="1" ht="11.549999999999999">
      <c r="A81" s="995"/>
      <c r="B81" s="1644"/>
      <c r="C81" s="1644"/>
      <c r="D81" s="359"/>
      <c r="J81" s="1649"/>
      <c r="K81" s="1649"/>
      <c r="L81" s="1649"/>
      <c r="M81" s="1649"/>
      <c r="O81" s="1168"/>
      <c r="P81" s="1644"/>
      <c r="Q81" s="1644"/>
      <c r="R81" s="1168"/>
      <c r="S81" s="1168"/>
      <c r="T81" s="1168"/>
      <c r="U81" s="1168"/>
      <c r="V81" s="1644"/>
      <c r="W81" s="1168"/>
      <c r="X81" s="1168"/>
      <c r="Y81" s="552"/>
      <c r="Z81" s="1168"/>
      <c r="AA81" s="1168"/>
      <c r="AB81" s="1168"/>
      <c r="AC81" s="1168"/>
      <c r="AD81" s="1168"/>
      <c r="AE81" s="1640"/>
      <c r="AF81" s="574"/>
      <c r="AG81" s="574"/>
      <c r="AH81" s="574"/>
      <c r="AI81" s="574"/>
      <c r="AJ81" s="1649">
        <v>11</v>
      </c>
    </row>
    <row s="1649" customFormat="1" customHeight="1" ht="11.549999999999999">
      <c r="A82" s="995"/>
      <c r="B82" s="1644"/>
      <c r="C82" s="1644"/>
      <c r="D82" s="359"/>
      <c r="J82" s="1649"/>
      <c r="K82" s="1649"/>
      <c r="L82" s="1649"/>
      <c r="M82" s="1649"/>
      <c r="O82" s="1168"/>
      <c r="P82" s="1644"/>
      <c r="Q82" s="1644"/>
      <c r="R82" s="1168"/>
      <c r="S82" s="1168"/>
      <c r="T82" s="1168"/>
      <c r="U82" s="1168"/>
      <c r="V82" s="1644"/>
      <c r="W82" s="1168"/>
      <c r="X82" s="1168"/>
      <c r="Y82" s="552"/>
      <c r="Z82" s="1168"/>
      <c r="AA82" s="1168"/>
      <c r="AB82" s="1168"/>
      <c r="AC82" s="1168"/>
      <c r="AD82" s="1168"/>
      <c r="AE82" s="1640"/>
      <c r="AF82" s="574"/>
      <c r="AG82" s="574"/>
      <c r="AH82" s="574"/>
      <c r="AI82" s="574"/>
      <c r="AJ82" s="1649">
        <v>11</v>
      </c>
    </row>
    <row s="1649" customFormat="1" customHeight="1" ht="11.549999999999999">
      <c r="A83" s="995"/>
      <c r="B83" s="1644"/>
      <c r="C83" s="1644"/>
      <c r="D83" s="359"/>
      <c r="J83" s="1649"/>
      <c r="K83" s="1649"/>
      <c r="L83" s="1649"/>
      <c r="M83" s="1649"/>
      <c r="O83" s="1168"/>
      <c r="P83" s="1644"/>
      <c r="Q83" s="1644"/>
      <c r="R83" s="1168"/>
      <c r="S83" s="1168"/>
      <c r="T83" s="1168"/>
      <c r="U83" s="1168"/>
      <c r="V83" s="1644"/>
      <c r="W83" s="1168"/>
      <c r="X83" s="1168"/>
      <c r="Y83" s="552"/>
      <c r="Z83" s="1168"/>
      <c r="AA83" s="1168"/>
      <c r="AB83" s="1168"/>
      <c r="AC83" s="1168"/>
      <c r="AD83" s="1168"/>
      <c r="AE83" s="1640"/>
      <c r="AF83" s="574"/>
      <c r="AG83" s="574"/>
      <c r="AH83" s="574"/>
      <c r="AI83" s="574"/>
      <c r="AJ83" s="1649">
        <v>11</v>
      </c>
    </row>
    <row s="1649" customFormat="1" customHeight="1" ht="11.549999999999999">
      <c r="A84" s="995"/>
      <c r="B84" s="1644"/>
      <c r="C84" s="1644"/>
      <c r="D84" s="359"/>
      <c r="J84" s="1649"/>
      <c r="K84" s="1649"/>
      <c r="L84" s="1649"/>
      <c r="M84" s="1649"/>
      <c r="O84" s="1168"/>
      <c r="P84" s="1644"/>
      <c r="Q84" s="1644"/>
      <c r="R84" s="1168"/>
      <c r="S84" s="1168"/>
      <c r="T84" s="1168"/>
      <c r="U84" s="1168"/>
      <c r="V84" s="1644"/>
      <c r="W84" s="1168"/>
      <c r="X84" s="1168"/>
      <c r="Y84" s="552"/>
      <c r="Z84" s="1168"/>
      <c r="AA84" s="1168"/>
      <c r="AB84" s="1168"/>
      <c r="AC84" s="1168"/>
      <c r="AD84" s="1168"/>
      <c r="AE84" s="1640"/>
      <c r="AF84" s="574"/>
      <c r="AG84" s="574"/>
      <c r="AH84" s="574"/>
      <c r="AI84" s="574"/>
      <c r="AJ84" s="1649">
        <v>11</v>
      </c>
    </row>
    <row s="1649" customFormat="1" customHeight="1" ht="11.549999999999999">
      <c r="A85" s="995"/>
      <c r="B85" s="1644"/>
      <c r="C85" s="1644"/>
      <c r="D85" s="359"/>
      <c r="J85" s="1649"/>
      <c r="K85" s="1649"/>
      <c r="L85" s="1649"/>
      <c r="M85" s="1649"/>
      <c r="O85" s="1168"/>
      <c r="P85" s="1644"/>
      <c r="Q85" s="1644"/>
      <c r="R85" s="1168"/>
      <c r="S85" s="1168"/>
      <c r="T85" s="1168"/>
      <c r="U85" s="1168"/>
      <c r="V85" s="1644"/>
      <c r="W85" s="1168"/>
      <c r="X85" s="1168"/>
      <c r="Y85" s="552"/>
      <c r="Z85" s="1168"/>
      <c r="AA85" s="1168"/>
      <c r="AB85" s="1168"/>
      <c r="AC85" s="1168"/>
      <c r="AD85" s="1168"/>
      <c r="AE85" s="1640"/>
      <c r="AF85" s="574"/>
      <c r="AG85" s="574"/>
      <c r="AH85" s="574"/>
      <c r="AI85" s="574"/>
      <c r="AJ85" s="1649">
        <v>11</v>
      </c>
    </row>
    <row s="1649" customFormat="1" customHeight="1" ht="11.549999999999999">
      <c r="A86" s="995"/>
      <c r="B86" s="1644"/>
      <c r="C86" s="1644"/>
      <c r="D86" s="359"/>
      <c r="J86" s="1649"/>
      <c r="K86" s="1649"/>
      <c r="L86" s="1649"/>
      <c r="M86" s="1649"/>
      <c r="O86" s="1168"/>
      <c r="P86" s="1644"/>
      <c r="Q86" s="1644"/>
      <c r="R86" s="1168"/>
      <c r="S86" s="1168"/>
      <c r="T86" s="1168"/>
      <c r="U86" s="1168"/>
      <c r="V86" s="1644"/>
      <c r="W86" s="1168"/>
      <c r="X86" s="1168"/>
      <c r="Y86" s="552"/>
      <c r="Z86" s="1168"/>
      <c r="AA86" s="1168"/>
      <c r="AB86" s="1168"/>
      <c r="AC86" s="1168"/>
      <c r="AD86" s="1168"/>
      <c r="AE86" s="1640"/>
      <c r="AF86" s="574"/>
      <c r="AG86" s="574"/>
      <c r="AH86" s="574"/>
      <c r="AI86" s="574"/>
      <c r="AJ86" s="1649">
        <v>11</v>
      </c>
    </row>
    <row s="1649" customFormat="1" customHeight="1" ht="11.549999999999999">
      <c r="A87" s="995"/>
      <c r="B87" s="1644"/>
      <c r="C87" s="1644"/>
      <c r="D87" s="359"/>
      <c r="J87" s="1649"/>
      <c r="K87" s="1649"/>
      <c r="L87" s="1649"/>
      <c r="M87" s="1649"/>
      <c r="O87" s="1168"/>
      <c r="P87" s="1644"/>
      <c r="Q87" s="1644"/>
      <c r="R87" s="1168"/>
      <c r="S87" s="1168"/>
      <c r="T87" s="1168"/>
      <c r="U87" s="1168"/>
      <c r="V87" s="1644"/>
      <c r="W87" s="1168"/>
      <c r="X87" s="1168"/>
      <c r="Y87" s="552"/>
      <c r="Z87" s="1168"/>
      <c r="AA87" s="1168"/>
      <c r="AB87" s="1168"/>
      <c r="AC87" s="1168"/>
      <c r="AD87" s="1168"/>
      <c r="AE87" s="1640"/>
      <c r="AF87" s="574"/>
      <c r="AG87" s="574"/>
      <c r="AH87" s="574"/>
      <c r="AI87" s="574"/>
      <c r="AJ87" s="1649">
        <v>11</v>
      </c>
    </row>
    <row s="1649" customFormat="1" customHeight="1" ht="11.549999999999999">
      <c r="A88" s="995"/>
      <c r="B88" s="1644"/>
      <c r="C88" s="1644"/>
      <c r="D88" s="359"/>
      <c r="J88" s="1649"/>
      <c r="K88" s="1649"/>
      <c r="L88" s="1649"/>
      <c r="M88" s="1649"/>
      <c r="O88" s="1168"/>
      <c r="P88" s="1644"/>
      <c r="Q88" s="1644"/>
      <c r="R88" s="1168"/>
      <c r="S88" s="1168"/>
      <c r="T88" s="1168"/>
      <c r="U88" s="1168"/>
      <c r="V88" s="1644"/>
      <c r="W88" s="1168"/>
      <c r="X88" s="1168"/>
      <c r="Y88" s="552"/>
      <c r="Z88" s="1168"/>
      <c r="AA88" s="1168"/>
      <c r="AB88" s="1168"/>
      <c r="AC88" s="1168"/>
      <c r="AD88" s="1168"/>
      <c r="AE88" s="1640"/>
      <c r="AF88" s="574"/>
      <c r="AG88" s="574"/>
      <c r="AH88" s="574"/>
      <c r="AI88" s="574"/>
      <c r="AJ88" s="1649">
        <v>11</v>
      </c>
    </row>
    <row s="1649" customFormat="1" customHeight="1" ht="11.549999999999999">
      <c r="A89" s="995"/>
      <c r="B89" s="1644"/>
      <c r="C89" s="1644"/>
      <c r="D89" s="359"/>
      <c r="J89" s="1649"/>
      <c r="K89" s="1649"/>
      <c r="L89" s="1649"/>
      <c r="M89" s="1649"/>
      <c r="O89" s="1168"/>
      <c r="P89" s="1644"/>
      <c r="Q89" s="1644"/>
      <c r="R89" s="1168"/>
      <c r="S89" s="1168"/>
      <c r="T89" s="1168"/>
      <c r="U89" s="1168"/>
      <c r="V89" s="1644"/>
      <c r="W89" s="1168"/>
      <c r="X89" s="1168"/>
      <c r="Y89" s="552"/>
      <c r="Z89" s="1168"/>
      <c r="AA89" s="1168"/>
      <c r="AB89" s="1168"/>
      <c r="AC89" s="1168"/>
      <c r="AD89" s="1168"/>
      <c r="AE89" s="1640"/>
      <c r="AF89" s="574"/>
      <c r="AG89" s="574"/>
      <c r="AH89" s="574"/>
      <c r="AI89" s="574"/>
      <c r="AJ89" s="1649">
        <v>11</v>
      </c>
    </row>
    <row s="1649" customFormat="1" customHeight="1" ht="11.549999999999999">
      <c r="A90" s="995"/>
      <c r="B90" s="1644"/>
      <c r="C90" s="1644"/>
      <c r="D90" s="359"/>
      <c r="J90" s="1649"/>
      <c r="K90" s="1649"/>
      <c r="L90" s="1649"/>
      <c r="M90" s="1649"/>
      <c r="O90" s="1168"/>
      <c r="P90" s="1644"/>
      <c r="Q90" s="1644"/>
      <c r="R90" s="1168"/>
      <c r="S90" s="1168"/>
      <c r="T90" s="1168"/>
      <c r="U90" s="1168"/>
      <c r="V90" s="1644"/>
      <c r="W90" s="1168"/>
      <c r="X90" s="1168"/>
      <c r="Y90" s="552"/>
      <c r="Z90" s="1168"/>
      <c r="AA90" s="1168"/>
      <c r="AB90" s="1168"/>
      <c r="AC90" s="1168"/>
      <c r="AD90" s="1168"/>
      <c r="AE90" s="1640"/>
      <c r="AF90" s="574"/>
      <c r="AG90" s="574"/>
      <c r="AH90" s="574"/>
      <c r="AI90" s="574"/>
      <c r="AJ90" s="1649">
        <v>11</v>
      </c>
    </row>
    <row s="1649" customFormat="1" customHeight="1" ht="11.549999999999999">
      <c r="A91" s="995"/>
      <c r="B91" s="1644"/>
      <c r="C91" s="1644"/>
      <c r="D91" s="359"/>
      <c r="J91" s="1649"/>
      <c r="K91" s="1649"/>
      <c r="L91" s="1649"/>
      <c r="M91" s="1649"/>
      <c r="O91" s="1168"/>
      <c r="P91" s="1644"/>
      <c r="Q91" s="1644"/>
      <c r="R91" s="1168"/>
      <c r="S91" s="1168"/>
      <c r="T91" s="1168"/>
      <c r="U91" s="1168"/>
      <c r="V91" s="1644"/>
      <c r="W91" s="1168"/>
      <c r="X91" s="1168"/>
      <c r="Y91" s="552"/>
      <c r="Z91" s="1168"/>
      <c r="AA91" s="1168"/>
      <c r="AB91" s="1168"/>
      <c r="AC91" s="1168"/>
      <c r="AD91" s="1168"/>
      <c r="AE91" s="1640"/>
      <c r="AF91" s="574"/>
      <c r="AG91" s="574"/>
      <c r="AH91" s="574"/>
      <c r="AI91" s="574"/>
      <c r="AJ91" s="1649">
        <v>11</v>
      </c>
    </row>
    <row s="1649" customFormat="1" customHeight="1" ht="11.549999999999999">
      <c r="A92" s="995"/>
      <c r="B92" s="1644"/>
      <c r="C92" s="1644"/>
      <c r="D92" s="359"/>
      <c r="J92" s="1649"/>
      <c r="K92" s="1649"/>
      <c r="L92" s="1649"/>
      <c r="M92" s="1649"/>
      <c r="O92" s="1168"/>
      <c r="P92" s="1644"/>
      <c r="Q92" s="1644"/>
      <c r="R92" s="1168"/>
      <c r="S92" s="1168"/>
      <c r="T92" s="1168"/>
      <c r="U92" s="1168"/>
      <c r="V92" s="1644"/>
      <c r="W92" s="1168"/>
      <c r="X92" s="1168"/>
      <c r="Y92" s="552"/>
      <c r="Z92" s="1168"/>
      <c r="AA92" s="1168"/>
      <c r="AB92" s="1168"/>
      <c r="AC92" s="1168"/>
      <c r="AD92" s="1168"/>
      <c r="AE92" s="1640"/>
      <c r="AF92" s="574"/>
      <c r="AG92" s="574"/>
      <c r="AH92" s="574"/>
      <c r="AI92" s="574"/>
      <c r="AJ92" s="1649">
        <v>11</v>
      </c>
    </row>
    <row s="1649" customFormat="1" customHeight="1" ht="11.549999999999999">
      <c r="A93" s="995"/>
      <c r="B93" s="1644"/>
      <c r="C93" s="1644"/>
      <c r="D93" s="359"/>
      <c r="J93" s="1649"/>
      <c r="K93" s="1649"/>
      <c r="L93" s="1649"/>
      <c r="M93" s="1649"/>
      <c r="O93" s="1168"/>
      <c r="P93" s="1644"/>
      <c r="Q93" s="1644"/>
      <c r="R93" s="1168"/>
      <c r="S93" s="1168"/>
      <c r="T93" s="1168"/>
      <c r="U93" s="1168"/>
      <c r="V93" s="1644"/>
      <c r="W93" s="1168"/>
      <c r="X93" s="1168"/>
      <c r="Y93" s="552"/>
      <c r="Z93" s="1168"/>
      <c r="AA93" s="1168"/>
      <c r="AB93" s="1168"/>
      <c r="AC93" s="1168"/>
      <c r="AD93" s="1168"/>
      <c r="AE93" s="1640"/>
      <c r="AF93" s="574"/>
      <c r="AG93" s="574"/>
      <c r="AH93" s="574"/>
      <c r="AI93" s="574"/>
      <c r="AJ93" s="1649">
        <v>11</v>
      </c>
    </row>
    <row s="1649" customFormat="1" customHeight="1" ht="11.549999999999999">
      <c r="A94" s="995"/>
      <c r="B94" s="1644"/>
      <c r="C94" s="1644"/>
      <c r="D94" s="359"/>
      <c r="J94" s="1649"/>
      <c r="K94" s="1649"/>
      <c r="L94" s="1649"/>
      <c r="M94" s="1649"/>
      <c r="O94" s="1168"/>
      <c r="P94" s="1644"/>
      <c r="Q94" s="1644"/>
      <c r="R94" s="1168"/>
      <c r="S94" s="1168"/>
      <c r="T94" s="1168"/>
      <c r="U94" s="1168"/>
      <c r="V94" s="1644"/>
      <c r="W94" s="1168"/>
      <c r="X94" s="1168"/>
      <c r="Y94" s="552"/>
      <c r="Z94" s="1168"/>
      <c r="AA94" s="1168"/>
      <c r="AB94" s="1168"/>
      <c r="AC94" s="1168"/>
      <c r="AD94" s="1168"/>
      <c r="AE94" s="1640"/>
      <c r="AF94" s="574"/>
      <c r="AG94" s="574"/>
      <c r="AH94" s="574"/>
      <c r="AI94" s="574"/>
      <c r="AJ94" s="1649">
        <v>11</v>
      </c>
    </row>
    <row s="1649" customFormat="1" customHeight="1" ht="11.549999999999999">
      <c r="A95" s="995"/>
      <c r="B95" s="1644"/>
      <c r="C95" s="1644"/>
      <c r="D95" s="359"/>
      <c r="J95" s="1649"/>
      <c r="K95" s="1649"/>
      <c r="L95" s="1649"/>
      <c r="M95" s="1649"/>
      <c r="O95" s="1168"/>
      <c r="P95" s="1644"/>
      <c r="Q95" s="1644"/>
      <c r="R95" s="1168"/>
      <c r="S95" s="1168"/>
      <c r="T95" s="1168"/>
      <c r="U95" s="1168"/>
      <c r="V95" s="1644"/>
      <c r="W95" s="1168"/>
      <c r="X95" s="1168"/>
      <c r="Y95" s="552"/>
      <c r="Z95" s="1168"/>
      <c r="AA95" s="1168"/>
      <c r="AB95" s="1168"/>
      <c r="AC95" s="1168"/>
      <c r="AD95" s="1168"/>
      <c r="AE95" s="1640"/>
      <c r="AF95" s="574"/>
      <c r="AG95" s="574"/>
      <c r="AH95" s="574"/>
      <c r="AI95" s="574"/>
      <c r="AJ95" s="1649">
        <v>11</v>
      </c>
    </row>
    <row s="1649" customFormat="1" customHeight="1" ht="11.549999999999999">
      <c r="A96" s="995"/>
      <c r="B96" s="1644"/>
      <c r="C96" s="1644"/>
      <c r="D96" s="359"/>
      <c r="J96" s="1649"/>
      <c r="K96" s="1649"/>
      <c r="L96" s="1649"/>
      <c r="M96" s="1649"/>
      <c r="O96" s="1168"/>
      <c r="P96" s="1644"/>
      <c r="Q96" s="1644"/>
      <c r="R96" s="1168"/>
      <c r="S96" s="1168"/>
      <c r="T96" s="1168"/>
      <c r="U96" s="1168"/>
      <c r="V96" s="1644"/>
      <c r="W96" s="1168"/>
      <c r="X96" s="1168"/>
      <c r="Y96" s="552"/>
      <c r="Z96" s="1168"/>
      <c r="AA96" s="1168"/>
      <c r="AB96" s="1168"/>
      <c r="AC96" s="1168"/>
      <c r="AD96" s="1168"/>
      <c r="AE96" s="1640"/>
      <c r="AF96" s="574"/>
      <c r="AG96" s="574"/>
      <c r="AH96" s="574"/>
      <c r="AI96" s="574"/>
      <c r="AJ96" s="1649">
        <v>11</v>
      </c>
    </row>
    <row s="1649" customFormat="1" customHeight="1" ht="11.549999999999999">
      <c r="A97" s="995"/>
      <c r="B97" s="1644"/>
      <c r="C97" s="1644"/>
      <c r="D97" s="359"/>
      <c r="J97" s="1649"/>
      <c r="K97" s="1649"/>
      <c r="L97" s="1649"/>
      <c r="M97" s="1649"/>
      <c r="O97" s="1168"/>
      <c r="P97" s="1644"/>
      <c r="Q97" s="1644"/>
      <c r="R97" s="1168"/>
      <c r="S97" s="1168"/>
      <c r="T97" s="1168"/>
      <c r="U97" s="1168"/>
      <c r="V97" s="1644"/>
      <c r="W97" s="1168"/>
      <c r="X97" s="1168"/>
      <c r="Y97" s="552"/>
      <c r="Z97" s="1168"/>
      <c r="AA97" s="1168"/>
      <c r="AB97" s="1168"/>
      <c r="AC97" s="1168"/>
      <c r="AD97" s="1168"/>
      <c r="AE97" s="1640"/>
      <c r="AF97" s="574"/>
      <c r="AG97" s="574"/>
      <c r="AH97" s="574"/>
      <c r="AI97" s="574"/>
      <c r="AJ97" s="1649">
        <v>11</v>
      </c>
    </row>
    <row s="1649" customFormat="1" customHeight="1" ht="11.549999999999999">
      <c r="A98" s="995"/>
      <c r="B98" s="1644"/>
      <c r="C98" s="1644"/>
      <c r="D98" s="359"/>
      <c r="J98" s="1649"/>
      <c r="K98" s="1649"/>
      <c r="L98" s="1649"/>
      <c r="M98" s="1649"/>
      <c r="O98" s="1168"/>
      <c r="P98" s="1644"/>
      <c r="Q98" s="1644"/>
      <c r="R98" s="1168"/>
      <c r="S98" s="1168"/>
      <c r="T98" s="1168"/>
      <c r="U98" s="1168"/>
      <c r="V98" s="1644"/>
      <c r="W98" s="1168"/>
      <c r="X98" s="1168"/>
      <c r="Y98" s="552"/>
      <c r="Z98" s="1168"/>
      <c r="AA98" s="1168"/>
      <c r="AB98" s="1168"/>
      <c r="AC98" s="1168"/>
      <c r="AD98" s="1168"/>
      <c r="AE98" s="1640"/>
      <c r="AF98" s="574"/>
      <c r="AG98" s="574"/>
      <c r="AH98" s="574"/>
      <c r="AI98" s="574"/>
      <c r="AJ98" s="1649">
        <v>11</v>
      </c>
    </row>
    <row s="1649" customFormat="1" customHeight="1" ht="11.549999999999999">
      <c r="A99" s="995"/>
      <c r="B99" s="1644"/>
      <c r="C99" s="1644"/>
      <c r="D99" s="359"/>
      <c r="J99" s="1649"/>
      <c r="K99" s="1649"/>
      <c r="L99" s="1649"/>
      <c r="M99" s="1649"/>
      <c r="O99" s="1168"/>
      <c r="P99" s="1644"/>
      <c r="Q99" s="1644"/>
      <c r="R99" s="1168"/>
      <c r="S99" s="1168"/>
      <c r="T99" s="1168"/>
      <c r="U99" s="1168"/>
      <c r="V99" s="1644"/>
      <c r="W99" s="1168"/>
      <c r="X99" s="1168"/>
      <c r="Y99" s="552"/>
      <c r="Z99" s="1168"/>
      <c r="AA99" s="1168"/>
      <c r="AB99" s="1168"/>
      <c r="AC99" s="1168"/>
      <c r="AD99" s="1168"/>
      <c r="AE99" s="1640"/>
      <c r="AF99" s="574"/>
      <c r="AG99" s="574"/>
      <c r="AH99" s="574"/>
      <c r="AI99" s="574"/>
      <c r="AJ99" s="1649">
        <v>11</v>
      </c>
    </row>
    <row s="1649" customFormat="1" customHeight="1" ht="11.549999999999999">
      <c r="A100" s="995"/>
      <c r="B100" s="1644"/>
      <c r="C100" s="1644"/>
      <c r="D100" s="359"/>
      <c r="J100" s="1649"/>
      <c r="K100" s="1649"/>
      <c r="L100" s="1649"/>
      <c r="M100" s="1649"/>
      <c r="O100" s="1168"/>
      <c r="P100" s="1644"/>
      <c r="Q100" s="1644"/>
      <c r="R100" s="1168"/>
      <c r="S100" s="1168"/>
      <c r="T100" s="1168"/>
      <c r="U100" s="1168"/>
      <c r="V100" s="1644"/>
      <c r="W100" s="1168"/>
      <c r="X100" s="1168"/>
      <c r="Y100" s="552"/>
      <c r="Z100" s="1168"/>
      <c r="AA100" s="1168"/>
      <c r="AB100" s="1168"/>
      <c r="AC100" s="1168"/>
      <c r="AD100" s="1168"/>
      <c r="AE100" s="1640"/>
      <c r="AF100" s="574"/>
      <c r="AG100" s="574"/>
      <c r="AH100" s="574"/>
      <c r="AI100" s="574"/>
      <c r="AJ100" s="1649">
        <v>11</v>
      </c>
    </row>
    <row s="1649" customFormat="1" customHeight="1" ht="11.549999999999999">
      <c r="A101" s="995"/>
      <c r="B101" s="1644"/>
      <c r="C101" s="1644"/>
      <c r="D101" s="359"/>
      <c r="J101" s="1649"/>
      <c r="K101" s="1649"/>
      <c r="L101" s="1649"/>
      <c r="M101" s="1649"/>
      <c r="O101" s="1168"/>
      <c r="P101" s="1644"/>
      <c r="Q101" s="1644"/>
      <c r="R101" s="1168"/>
      <c r="S101" s="1168"/>
      <c r="T101" s="1168"/>
      <c r="U101" s="1168"/>
      <c r="V101" s="1644"/>
      <c r="W101" s="1168"/>
      <c r="X101" s="1168"/>
      <c r="Y101" s="552"/>
      <c r="Z101" s="1168"/>
      <c r="AA101" s="1168"/>
      <c r="AB101" s="1168"/>
      <c r="AC101" s="1168"/>
      <c r="AD101" s="1168"/>
      <c r="AE101" s="1640"/>
      <c r="AF101" s="574"/>
      <c r="AG101" s="574"/>
      <c r="AH101" s="574"/>
      <c r="AI101" s="574"/>
      <c r="AJ101" s="1649">
        <v>11</v>
      </c>
    </row>
    <row s="1649" customFormat="1" customHeight="1" ht="11.549999999999999">
      <c r="A102" s="995"/>
      <c r="B102" s="1644"/>
      <c r="C102" s="1644"/>
      <c r="D102" s="359"/>
      <c r="J102" s="1649"/>
      <c r="K102" s="1649"/>
      <c r="L102" s="1649"/>
      <c r="M102" s="1649"/>
      <c r="O102" s="1168"/>
      <c r="P102" s="1644"/>
      <c r="Q102" s="1644"/>
      <c r="R102" s="1168"/>
      <c r="S102" s="1168"/>
      <c r="T102" s="1168"/>
      <c r="U102" s="1168"/>
      <c r="V102" s="1644"/>
      <c r="W102" s="1168"/>
      <c r="X102" s="1168"/>
      <c r="Y102" s="552"/>
      <c r="Z102" s="1168"/>
      <c r="AA102" s="1168"/>
      <c r="AB102" s="1168"/>
      <c r="AC102" s="1168"/>
      <c r="AD102" s="1168"/>
      <c r="AE102" s="1640"/>
      <c r="AF102" s="574"/>
      <c r="AG102" s="574"/>
      <c r="AH102" s="574"/>
      <c r="AI102" s="574"/>
      <c r="AJ102" s="1649">
        <v>11</v>
      </c>
    </row>
    <row s="1649" customFormat="1" customHeight="1" ht="11.549999999999999">
      <c r="A103" s="995"/>
      <c r="B103" s="1644"/>
      <c r="C103" s="1644"/>
      <c r="D103" s="359"/>
      <c r="J103" s="1649"/>
      <c r="K103" s="1649"/>
      <c r="L103" s="1649"/>
      <c r="M103" s="1649"/>
      <c r="O103" s="1168"/>
      <c r="P103" s="1644"/>
      <c r="Q103" s="1644"/>
      <c r="R103" s="1168"/>
      <c r="S103" s="1168"/>
      <c r="T103" s="1168"/>
      <c r="U103" s="1168"/>
      <c r="V103" s="1644"/>
      <c r="W103" s="1168"/>
      <c r="X103" s="1168"/>
      <c r="Y103" s="552"/>
      <c r="Z103" s="1168"/>
      <c r="AA103" s="1168"/>
      <c r="AB103" s="1168"/>
      <c r="AC103" s="1168"/>
      <c r="AD103" s="1168"/>
      <c r="AE103" s="1640"/>
      <c r="AF103" s="574"/>
      <c r="AG103" s="574"/>
      <c r="AH103" s="574"/>
      <c r="AI103" s="574"/>
      <c r="AJ103" s="1649">
        <v>11</v>
      </c>
    </row>
    <row s="1649" customFormat="1" customHeight="1" ht="11.549999999999999">
      <c r="A104" s="995"/>
      <c r="B104" s="1644"/>
      <c r="C104" s="1644"/>
      <c r="D104" s="359"/>
      <c r="J104" s="1649"/>
      <c r="K104" s="1649"/>
      <c r="L104" s="1649"/>
      <c r="M104" s="1649"/>
      <c r="O104" s="1168"/>
      <c r="P104" s="1644"/>
      <c r="Q104" s="1644"/>
      <c r="R104" s="1168"/>
      <c r="S104" s="1168"/>
      <c r="T104" s="1168"/>
      <c r="U104" s="1168"/>
      <c r="V104" s="1644"/>
      <c r="W104" s="1168"/>
      <c r="X104" s="1168"/>
      <c r="Y104" s="552"/>
      <c r="Z104" s="1168"/>
      <c r="AA104" s="1168"/>
      <c r="AB104" s="1168"/>
      <c r="AC104" s="1168"/>
      <c r="AD104" s="1168"/>
      <c r="AE104" s="1640"/>
      <c r="AF104" s="574"/>
      <c r="AG104" s="574"/>
      <c r="AH104" s="574"/>
      <c r="AI104" s="574"/>
      <c r="AJ104" s="1649">
        <v>11</v>
      </c>
    </row>
    <row s="1649" customFormat="1" customHeight="1" ht="11.549999999999999">
      <c r="A105" s="995"/>
      <c r="B105" s="1644"/>
      <c r="C105" s="1644"/>
      <c r="D105" s="359"/>
      <c r="J105" s="1649"/>
      <c r="K105" s="1649"/>
      <c r="L105" s="1649"/>
      <c r="M105" s="1649"/>
      <c r="O105" s="1168"/>
      <c r="P105" s="1644"/>
      <c r="Q105" s="1644"/>
      <c r="R105" s="1168"/>
      <c r="S105" s="1168"/>
      <c r="T105" s="1168"/>
      <c r="U105" s="1168"/>
      <c r="V105" s="1644"/>
      <c r="W105" s="1168"/>
      <c r="X105" s="1168"/>
      <c r="Y105" s="552"/>
      <c r="Z105" s="1168"/>
      <c r="AA105" s="1168"/>
      <c r="AB105" s="1168"/>
      <c r="AC105" s="1168"/>
      <c r="AD105" s="1168"/>
      <c r="AE105" s="1640"/>
      <c r="AF105" s="574"/>
      <c r="AG105" s="574"/>
      <c r="AH105" s="574"/>
      <c r="AI105" s="574"/>
      <c r="AJ105" s="1649">
        <v>11</v>
      </c>
    </row>
    <row s="1649" customFormat="1" customHeight="1" ht="11.549999999999999">
      <c r="A106" s="995"/>
      <c r="B106" s="1644"/>
      <c r="C106" s="1644"/>
      <c r="D106" s="359"/>
      <c r="J106" s="1649"/>
      <c r="K106" s="1649"/>
      <c r="L106" s="1649"/>
      <c r="M106" s="1649"/>
      <c r="O106" s="1168"/>
      <c r="P106" s="1644"/>
      <c r="Q106" s="1644"/>
      <c r="R106" s="1168"/>
      <c r="S106" s="1168"/>
      <c r="T106" s="1168"/>
      <c r="U106" s="1168"/>
      <c r="V106" s="1644"/>
      <c r="W106" s="1168"/>
      <c r="X106" s="1168"/>
      <c r="Y106" s="552"/>
      <c r="Z106" s="1168"/>
      <c r="AA106" s="1168"/>
      <c r="AB106" s="1168"/>
      <c r="AC106" s="1168"/>
      <c r="AD106" s="1168"/>
      <c r="AE106" s="1640"/>
      <c r="AF106" s="574"/>
      <c r="AG106" s="574"/>
      <c r="AH106" s="574"/>
      <c r="AI106" s="574"/>
      <c r="AJ106" s="1649">
        <v>11</v>
      </c>
    </row>
    <row s="1649" customFormat="1" customHeight="1" ht="11.549999999999999">
      <c r="A107" s="995"/>
      <c r="B107" s="1644"/>
      <c r="C107" s="1644"/>
      <c r="D107" s="359"/>
      <c r="J107" s="1649"/>
      <c r="K107" s="1649"/>
      <c r="L107" s="1649"/>
      <c r="M107" s="1649"/>
      <c r="O107" s="1168"/>
      <c r="P107" s="1644"/>
      <c r="Q107" s="1644"/>
      <c r="R107" s="1168"/>
      <c r="S107" s="1168"/>
      <c r="T107" s="1168"/>
      <c r="U107" s="1168"/>
      <c r="V107" s="1644"/>
      <c r="W107" s="1168"/>
      <c r="X107" s="1168"/>
      <c r="Y107" s="552"/>
      <c r="Z107" s="1168"/>
      <c r="AA107" s="1168"/>
      <c r="AB107" s="1168"/>
      <c r="AC107" s="1168"/>
      <c r="AD107" s="1168"/>
      <c r="AE107" s="1640"/>
      <c r="AF107" s="574"/>
      <c r="AG107" s="574"/>
      <c r="AH107" s="574"/>
      <c r="AI107" s="574"/>
      <c r="AJ107" s="1649">
        <v>11</v>
      </c>
    </row>
    <row s="1649" customFormat="1" customHeight="1" ht="11.549999999999999">
      <c r="A108" s="995"/>
      <c r="B108" s="1644"/>
      <c r="C108" s="1644"/>
      <c r="D108" s="359"/>
      <c r="J108" s="1649"/>
      <c r="K108" s="1649"/>
      <c r="L108" s="1649"/>
      <c r="M108" s="1649"/>
      <c r="O108" s="1168"/>
      <c r="P108" s="1644"/>
      <c r="Q108" s="1644"/>
      <c r="R108" s="1168"/>
      <c r="S108" s="1168"/>
      <c r="T108" s="1168"/>
      <c r="U108" s="1168"/>
      <c r="V108" s="1644"/>
      <c r="W108" s="1168"/>
      <c r="X108" s="1168"/>
      <c r="Y108" s="552"/>
      <c r="Z108" s="1168"/>
      <c r="AA108" s="1168"/>
      <c r="AB108" s="1168"/>
      <c r="AC108" s="1168"/>
      <c r="AD108" s="1168"/>
      <c r="AE108" s="1640"/>
      <c r="AF108" s="574"/>
      <c r="AG108" s="574"/>
      <c r="AH108" s="574"/>
      <c r="AI108" s="574"/>
      <c r="AJ108" s="1649">
        <v>11</v>
      </c>
    </row>
    <row s="1649" customFormat="1" customHeight="1" ht="11.549999999999999">
      <c r="A109" s="995"/>
      <c r="B109" s="1644"/>
      <c r="C109" s="1644"/>
      <c r="D109" s="359"/>
      <c r="J109" s="1649"/>
      <c r="K109" s="1649"/>
      <c r="L109" s="1649"/>
      <c r="M109" s="1649"/>
      <c r="O109" s="1168"/>
      <c r="P109" s="1644"/>
      <c r="Q109" s="1644"/>
      <c r="R109" s="1168"/>
      <c r="S109" s="1168"/>
      <c r="T109" s="1168"/>
      <c r="U109" s="1168"/>
      <c r="V109" s="1644"/>
      <c r="W109" s="1168"/>
      <c r="X109" s="1168"/>
      <c r="Y109" s="552"/>
      <c r="Z109" s="1168"/>
      <c r="AA109" s="1168"/>
      <c r="AB109" s="1168"/>
      <c r="AC109" s="1168"/>
      <c r="AD109" s="1168"/>
      <c r="AE109" s="1640"/>
      <c r="AF109" s="574"/>
      <c r="AG109" s="574"/>
      <c r="AH109" s="574"/>
      <c r="AI109" s="574"/>
      <c r="AJ109" s="1649">
        <v>11</v>
      </c>
    </row>
    <row s="1649" customFormat="1" customHeight="1" ht="11.549999999999999">
      <c r="A110" s="995"/>
      <c r="B110" s="1644"/>
      <c r="C110" s="1644"/>
      <c r="D110" s="359"/>
      <c r="J110" s="1649"/>
      <c r="K110" s="1649"/>
      <c r="L110" s="1649"/>
      <c r="M110" s="1649"/>
      <c r="O110" s="1168"/>
      <c r="P110" s="1644"/>
      <c r="Q110" s="1644"/>
      <c r="R110" s="1168"/>
      <c r="S110" s="1168"/>
      <c r="T110" s="1168"/>
      <c r="U110" s="1168"/>
      <c r="V110" s="1644"/>
      <c r="W110" s="1168"/>
      <c r="X110" s="1168"/>
      <c r="Y110" s="552"/>
      <c r="Z110" s="1168"/>
      <c r="AA110" s="1168"/>
      <c r="AB110" s="1168"/>
      <c r="AC110" s="1168"/>
      <c r="AD110" s="1168"/>
      <c r="AE110" s="1640"/>
      <c r="AF110" s="574"/>
      <c r="AG110" s="574"/>
      <c r="AH110" s="574"/>
      <c r="AI110" s="574"/>
      <c r="AJ110" s="1649">
        <v>11</v>
      </c>
    </row>
    <row s="1649" customFormat="1" customHeight="1" ht="11.549999999999999">
      <c r="A111" s="995"/>
      <c r="B111" s="1644"/>
      <c r="C111" s="1644"/>
      <c r="D111" s="359"/>
      <c r="J111" s="1649"/>
      <c r="K111" s="1649"/>
      <c r="L111" s="1649"/>
      <c r="M111" s="1649"/>
      <c r="O111" s="1168"/>
      <c r="P111" s="1644"/>
      <c r="Q111" s="1644"/>
      <c r="R111" s="1168"/>
      <c r="S111" s="1168"/>
      <c r="T111" s="1168"/>
      <c r="U111" s="1168"/>
      <c r="V111" s="1644"/>
      <c r="W111" s="1168"/>
      <c r="X111" s="1168"/>
      <c r="Y111" s="552"/>
      <c r="Z111" s="1168"/>
      <c r="AA111" s="1168"/>
      <c r="AB111" s="1168"/>
      <c r="AC111" s="1168"/>
      <c r="AD111" s="1168"/>
      <c r="AE111" s="1640"/>
      <c r="AF111" s="574"/>
      <c r="AG111" s="574"/>
      <c r="AH111" s="574"/>
      <c r="AI111" s="574"/>
      <c r="AJ111" s="1649">
        <v>11</v>
      </c>
    </row>
    <row s="1649" customFormat="1" customHeight="1" ht="11.549999999999999">
      <c r="A112" s="995"/>
      <c r="B112" s="1644"/>
      <c r="C112" s="1644"/>
      <c r="D112" s="359"/>
      <c r="J112" s="1649"/>
      <c r="K112" s="1649"/>
      <c r="L112" s="1649"/>
      <c r="M112" s="1649"/>
      <c r="O112" s="1168"/>
      <c r="P112" s="1644"/>
      <c r="Q112" s="1644"/>
      <c r="R112" s="1168"/>
      <c r="S112" s="1168"/>
      <c r="T112" s="1168"/>
      <c r="U112" s="1168"/>
      <c r="V112" s="1644"/>
      <c r="W112" s="1168"/>
      <c r="X112" s="1168"/>
      <c r="Y112" s="552"/>
      <c r="Z112" s="1168"/>
      <c r="AA112" s="1168"/>
      <c r="AB112" s="1168"/>
      <c r="AC112" s="1168"/>
      <c r="AD112" s="1168"/>
      <c r="AE112" s="1640"/>
      <c r="AF112" s="574"/>
      <c r="AG112" s="574"/>
      <c r="AH112" s="574"/>
      <c r="AI112" s="574"/>
      <c r="AJ112" s="1649">
        <v>11</v>
      </c>
    </row>
    <row s="1649" customFormat="1" customHeight="1" ht="11.549999999999999">
      <c r="A113" s="995"/>
      <c r="B113" s="1644"/>
      <c r="C113" s="1644"/>
      <c r="D113" s="359"/>
      <c r="J113" s="1649"/>
      <c r="K113" s="1649"/>
      <c r="L113" s="1649"/>
      <c r="M113" s="1649"/>
      <c r="O113" s="1168"/>
      <c r="P113" s="1644"/>
      <c r="Q113" s="1644"/>
      <c r="R113" s="1168"/>
      <c r="S113" s="1168"/>
      <c r="T113" s="1168"/>
      <c r="U113" s="1168"/>
      <c r="V113" s="1644"/>
      <c r="W113" s="1168"/>
      <c r="X113" s="1168"/>
      <c r="Y113" s="552"/>
      <c r="Z113" s="1168"/>
      <c r="AA113" s="1168"/>
      <c r="AB113" s="1168"/>
      <c r="AC113" s="1168"/>
      <c r="AD113" s="1168"/>
      <c r="AE113" s="1640"/>
      <c r="AF113" s="574"/>
      <c r="AG113" s="574"/>
      <c r="AH113" s="574"/>
      <c r="AI113" s="574"/>
      <c r="AJ113" s="1649">
        <v>11</v>
      </c>
    </row>
    <row s="1649" customFormat="1" customHeight="1" ht="11.549999999999999">
      <c r="A114" s="995"/>
      <c r="B114" s="1644"/>
      <c r="C114" s="1644"/>
      <c r="D114" s="359"/>
      <c r="J114" s="1649"/>
      <c r="K114" s="1649"/>
      <c r="L114" s="1649"/>
      <c r="M114" s="1649"/>
      <c r="O114" s="1168"/>
      <c r="P114" s="1644"/>
      <c r="Q114" s="1644"/>
      <c r="R114" s="1168"/>
      <c r="S114" s="1168"/>
      <c r="T114" s="1168"/>
      <c r="U114" s="1168"/>
      <c r="V114" s="1644"/>
      <c r="W114" s="1168"/>
      <c r="X114" s="1168"/>
      <c r="Y114" s="552"/>
      <c r="Z114" s="1168"/>
      <c r="AA114" s="1168"/>
      <c r="AB114" s="1168"/>
      <c r="AC114" s="1168"/>
      <c r="AD114" s="1168"/>
      <c r="AE114" s="1640"/>
      <c r="AF114" s="574"/>
      <c r="AG114" s="574"/>
      <c r="AH114" s="574"/>
      <c r="AI114" s="574"/>
      <c r="AJ114" s="1649">
        <v>11</v>
      </c>
    </row>
    <row s="1649" customFormat="1" customHeight="1" ht="11.549999999999999">
      <c r="A115" s="995"/>
      <c r="B115" s="1644"/>
      <c r="C115" s="1644"/>
      <c r="D115" s="359"/>
      <c r="J115" s="1649"/>
      <c r="K115" s="1649"/>
      <c r="L115" s="1649"/>
      <c r="M115" s="1649"/>
      <c r="O115" s="1168"/>
      <c r="P115" s="1644"/>
      <c r="Q115" s="1644"/>
      <c r="R115" s="1168"/>
      <c r="S115" s="1168"/>
      <c r="T115" s="1168"/>
      <c r="U115" s="1168"/>
      <c r="V115" s="1644"/>
      <c r="W115" s="1168"/>
      <c r="X115" s="1168"/>
      <c r="Y115" s="552"/>
      <c r="Z115" s="1168"/>
      <c r="AA115" s="1168"/>
      <c r="AB115" s="1168"/>
      <c r="AC115" s="1168"/>
      <c r="AD115" s="1168"/>
      <c r="AE115" s="1640"/>
      <c r="AF115" s="574"/>
      <c r="AG115" s="574"/>
      <c r="AH115" s="574"/>
      <c r="AI115" s="574"/>
      <c r="AJ115" s="1649">
        <v>11</v>
      </c>
    </row>
    <row s="1649" customFormat="1" customHeight="1" ht="11.549999999999999">
      <c r="A116" s="995"/>
      <c r="B116" s="1644"/>
      <c r="C116" s="1644"/>
      <c r="D116" s="359"/>
      <c r="J116" s="1649"/>
      <c r="K116" s="1649"/>
      <c r="L116" s="1649"/>
      <c r="M116" s="1649"/>
      <c r="O116" s="1168"/>
      <c r="P116" s="1644"/>
      <c r="Q116" s="1644"/>
      <c r="R116" s="1168"/>
      <c r="S116" s="1168"/>
      <c r="T116" s="1168"/>
      <c r="U116" s="1168"/>
      <c r="V116" s="1644"/>
      <c r="W116" s="1168"/>
      <c r="X116" s="1168"/>
      <c r="Y116" s="552"/>
      <c r="Z116" s="1168"/>
      <c r="AA116" s="1168"/>
      <c r="AB116" s="1168"/>
      <c r="AC116" s="1168"/>
      <c r="AD116" s="1168"/>
      <c r="AE116" s="1640"/>
      <c r="AF116" s="574"/>
      <c r="AG116" s="574"/>
      <c r="AH116" s="574"/>
      <c r="AI116" s="574"/>
      <c r="AJ116" s="1649">
        <v>11</v>
      </c>
    </row>
    <row s="1649" customFormat="1" customHeight="1" ht="11.549999999999999">
      <c r="A117" s="995"/>
      <c r="B117" s="1644"/>
      <c r="C117" s="1644"/>
      <c r="D117" s="359"/>
      <c r="J117" s="1649"/>
      <c r="K117" s="1649"/>
      <c r="L117" s="1649"/>
      <c r="M117" s="1649"/>
      <c r="O117" s="1168"/>
      <c r="P117" s="1644"/>
      <c r="Q117" s="1644"/>
      <c r="R117" s="1168"/>
      <c r="S117" s="1168"/>
      <c r="T117" s="1168"/>
      <c r="U117" s="1168"/>
      <c r="V117" s="1644"/>
      <c r="W117" s="1168"/>
      <c r="X117" s="1168"/>
      <c r="Y117" s="552"/>
      <c r="Z117" s="1168"/>
      <c r="AA117" s="1168"/>
      <c r="AB117" s="1168"/>
      <c r="AC117" s="1168"/>
      <c r="AD117" s="1168"/>
      <c r="AE117" s="1640"/>
      <c r="AF117" s="574"/>
      <c r="AG117" s="574"/>
      <c r="AH117" s="574"/>
      <c r="AI117" s="574"/>
      <c r="AJ117" s="1649">
        <v>11</v>
      </c>
    </row>
    <row s="1649" customFormat="1" customHeight="1" ht="11.549999999999999">
      <c r="A118" s="995"/>
      <c r="B118" s="1644"/>
      <c r="C118" s="1644"/>
      <c r="D118" s="359"/>
      <c r="J118" s="1649"/>
      <c r="K118" s="1649"/>
      <c r="L118" s="1649"/>
      <c r="M118" s="1649"/>
      <c r="O118" s="1168"/>
      <c r="P118" s="1644"/>
      <c r="Q118" s="1644"/>
      <c r="R118" s="1168"/>
      <c r="S118" s="1168"/>
      <c r="T118" s="1168"/>
      <c r="U118" s="1168"/>
      <c r="V118" s="1644"/>
      <c r="W118" s="1168"/>
      <c r="X118" s="1168"/>
      <c r="Y118" s="552"/>
      <c r="Z118" s="1168"/>
      <c r="AA118" s="1168"/>
      <c r="AB118" s="1168"/>
      <c r="AC118" s="1168"/>
      <c r="AD118" s="1168"/>
      <c r="AE118" s="1640"/>
      <c r="AF118" s="574"/>
      <c r="AG118" s="574"/>
      <c r="AH118" s="574"/>
      <c r="AI118" s="574"/>
      <c r="AJ118" s="1649">
        <v>11</v>
      </c>
    </row>
    <row s="1649" customFormat="1" customHeight="1" ht="11.549999999999999">
      <c r="A119" s="995"/>
      <c r="B119" s="1644"/>
      <c r="C119" s="1644"/>
      <c r="D119" s="359"/>
      <c r="J119" s="1649"/>
      <c r="K119" s="1649"/>
      <c r="L119" s="1649"/>
      <c r="M119" s="1649"/>
      <c r="O119" s="1168"/>
      <c r="P119" s="1644"/>
      <c r="Q119" s="1644"/>
      <c r="R119" s="1168"/>
      <c r="S119" s="1168"/>
      <c r="T119" s="1168"/>
      <c r="U119" s="1168"/>
      <c r="V119" s="1644"/>
      <c r="W119" s="1168"/>
      <c r="X119" s="1168"/>
      <c r="Y119" s="552"/>
      <c r="Z119" s="1168"/>
      <c r="AA119" s="1168"/>
      <c r="AB119" s="1168"/>
      <c r="AC119" s="1168"/>
      <c r="AD119" s="1168"/>
      <c r="AE119" s="1640"/>
      <c r="AF119" s="574"/>
      <c r="AG119" s="574"/>
      <c r="AH119" s="574"/>
      <c r="AI119" s="574"/>
      <c r="AJ119" s="1649">
        <v>11</v>
      </c>
    </row>
    <row s="1649" customFormat="1" customHeight="1" ht="11.549999999999999">
      <c r="A120" s="995"/>
      <c r="B120" s="1644"/>
      <c r="C120" s="1644"/>
      <c r="D120" s="359"/>
      <c r="J120" s="1649"/>
      <c r="K120" s="1649"/>
      <c r="L120" s="1649"/>
      <c r="M120" s="1649"/>
      <c r="O120" s="1168"/>
      <c r="P120" s="1644"/>
      <c r="Q120" s="1644"/>
      <c r="R120" s="1168"/>
      <c r="S120" s="1168"/>
      <c r="T120" s="1168"/>
      <c r="U120" s="1168"/>
      <c r="V120" s="1644"/>
      <c r="W120" s="1168"/>
      <c r="X120" s="1168"/>
      <c r="Y120" s="552"/>
      <c r="Z120" s="1168"/>
      <c r="AA120" s="1168"/>
      <c r="AB120" s="1168"/>
      <c r="AC120" s="1168"/>
      <c r="AD120" s="1168"/>
      <c r="AE120" s="1640"/>
      <c r="AF120" s="574"/>
      <c r="AG120" s="574"/>
      <c r="AH120" s="574"/>
      <c r="AI120" s="574"/>
      <c r="AJ120" s="1649">
        <v>11</v>
      </c>
    </row>
    <row s="1649" customFormat="1" customHeight="1" ht="11.549999999999999">
      <c r="A121" s="995"/>
      <c r="B121" s="1644"/>
      <c r="C121" s="1644"/>
      <c r="D121" s="359"/>
      <c r="J121" s="1649"/>
      <c r="K121" s="1649"/>
      <c r="L121" s="1649"/>
      <c r="M121" s="1649"/>
      <c r="O121" s="1168"/>
      <c r="P121" s="1644"/>
      <c r="Q121" s="1644"/>
      <c r="R121" s="1168"/>
      <c r="S121" s="1168"/>
      <c r="T121" s="1168"/>
      <c r="U121" s="1168"/>
      <c r="V121" s="1644"/>
      <c r="W121" s="1168"/>
      <c r="X121" s="1168"/>
      <c r="Y121" s="552"/>
      <c r="Z121" s="1168"/>
      <c r="AA121" s="1168"/>
      <c r="AB121" s="1168"/>
      <c r="AC121" s="1168"/>
      <c r="AD121" s="1168"/>
      <c r="AE121" s="1640"/>
      <c r="AF121" s="574"/>
      <c r="AG121" s="574"/>
      <c r="AH121" s="574"/>
      <c r="AI121" s="574"/>
      <c r="AJ121" s="1649">
        <v>11</v>
      </c>
    </row>
    <row s="1649" customFormat="1" customHeight="1" ht="11.549999999999999">
      <c r="A122" s="995"/>
      <c r="B122" s="1644"/>
      <c r="C122" s="1644"/>
      <c r="D122" s="359"/>
      <c r="J122" s="1649"/>
      <c r="K122" s="1649"/>
      <c r="L122" s="1649"/>
      <c r="M122" s="1649"/>
      <c r="O122" s="1168"/>
      <c r="P122" s="1644"/>
      <c r="Q122" s="1644"/>
      <c r="R122" s="1168"/>
      <c r="S122" s="1168"/>
      <c r="T122" s="1168"/>
      <c r="U122" s="1168"/>
      <c r="V122" s="1644"/>
      <c r="W122" s="1168"/>
      <c r="X122" s="1168"/>
      <c r="Y122" s="552"/>
      <c r="Z122" s="1168"/>
      <c r="AA122" s="1168"/>
      <c r="AB122" s="1168"/>
      <c r="AC122" s="1168"/>
      <c r="AD122" s="1168"/>
      <c r="AE122" s="1640"/>
      <c r="AF122" s="574"/>
      <c r="AG122" s="574"/>
      <c r="AH122" s="574"/>
      <c r="AI122" s="574"/>
      <c r="AJ122" s="1649">
        <v>11</v>
      </c>
    </row>
    <row s="1649" customFormat="1" customHeight="1" ht="11.549999999999999">
      <c r="A123" s="995"/>
      <c r="B123" s="1644"/>
      <c r="C123" s="1644"/>
      <c r="D123" s="359"/>
      <c r="J123" s="1649"/>
      <c r="K123" s="1649"/>
      <c r="L123" s="1649"/>
      <c r="M123" s="1649"/>
      <c r="O123" s="1168"/>
      <c r="P123" s="1644"/>
      <c r="Q123" s="1644"/>
      <c r="R123" s="1168"/>
      <c r="S123" s="1168"/>
      <c r="T123" s="1168"/>
      <c r="U123" s="1168"/>
      <c r="V123" s="1644"/>
      <c r="W123" s="1168"/>
      <c r="X123" s="1168"/>
      <c r="Y123" s="552"/>
      <c r="Z123" s="1168"/>
      <c r="AA123" s="1168"/>
      <c r="AB123" s="1168"/>
      <c r="AC123" s="1168"/>
      <c r="AD123" s="1168"/>
      <c r="AE123" s="1640"/>
      <c r="AF123" s="574"/>
      <c r="AG123" s="574"/>
      <c r="AH123" s="574"/>
      <c r="AI123" s="574"/>
      <c r="AJ123" s="1649">
        <v>11</v>
      </c>
    </row>
    <row s="1649" customFormat="1" customHeight="1" ht="11.549999999999999">
      <c r="A124" s="995"/>
      <c r="B124" s="1644"/>
      <c r="C124" s="1644"/>
      <c r="D124" s="359"/>
      <c r="J124" s="1649"/>
      <c r="K124" s="1649"/>
      <c r="L124" s="1649"/>
      <c r="M124" s="1649"/>
      <c r="O124" s="1168"/>
      <c r="P124" s="1644"/>
      <c r="Q124" s="1644"/>
      <c r="R124" s="1168"/>
      <c r="S124" s="1168"/>
      <c r="T124" s="1168"/>
      <c r="U124" s="1168"/>
      <c r="V124" s="1644"/>
      <c r="W124" s="1168"/>
      <c r="X124" s="1168"/>
      <c r="Y124" s="552"/>
      <c r="Z124" s="1168"/>
      <c r="AA124" s="1168"/>
      <c r="AB124" s="1168"/>
      <c r="AC124" s="1168"/>
      <c r="AD124" s="1168"/>
      <c r="AE124" s="1640"/>
      <c r="AF124" s="574"/>
      <c r="AG124" s="574"/>
      <c r="AH124" s="574"/>
      <c r="AI124" s="574"/>
      <c r="AJ124" s="1649">
        <v>11</v>
      </c>
    </row>
    <row s="1649" customFormat="1" customHeight="1" ht="11.549999999999999">
      <c r="A125" s="995"/>
      <c r="B125" s="1644"/>
      <c r="C125" s="1644"/>
      <c r="D125" s="359"/>
      <c r="J125" s="1649"/>
      <c r="K125" s="1649"/>
      <c r="L125" s="1649"/>
      <c r="M125" s="1649"/>
      <c r="O125" s="1168"/>
      <c r="P125" s="1644"/>
      <c r="Q125" s="1644"/>
      <c r="R125" s="1168"/>
      <c r="S125" s="1168"/>
      <c r="T125" s="1168"/>
      <c r="U125" s="1168"/>
      <c r="V125" s="1644"/>
      <c r="W125" s="1168"/>
      <c r="X125" s="1168"/>
      <c r="Y125" s="552"/>
      <c r="Z125" s="1168"/>
      <c r="AA125" s="1168"/>
      <c r="AB125" s="1168"/>
      <c r="AC125" s="1168"/>
      <c r="AD125" s="1168"/>
      <c r="AE125" s="1640"/>
      <c r="AF125" s="574"/>
      <c r="AG125" s="574"/>
      <c r="AH125" s="574"/>
      <c r="AI125" s="574"/>
      <c r="AJ125" s="1649">
        <v>11</v>
      </c>
    </row>
    <row s="1649" customFormat="1" customHeight="1" ht="11.549999999999999">
      <c r="A126" s="995"/>
      <c r="B126" s="1644"/>
      <c r="C126" s="1644"/>
      <c r="D126" s="359"/>
      <c r="J126" s="1649"/>
      <c r="K126" s="1649"/>
      <c r="L126" s="1649"/>
      <c r="M126" s="1649"/>
      <c r="O126" s="1168"/>
      <c r="P126" s="1644"/>
      <c r="Q126" s="1644"/>
      <c r="R126" s="1168"/>
      <c r="S126" s="1168"/>
      <c r="T126" s="1168"/>
      <c r="U126" s="1168"/>
      <c r="V126" s="1644"/>
      <c r="W126" s="1168"/>
      <c r="X126" s="1168"/>
      <c r="Y126" s="552"/>
      <c r="Z126" s="1168"/>
      <c r="AA126" s="1168"/>
      <c r="AB126" s="1168"/>
      <c r="AC126" s="1168"/>
      <c r="AD126" s="1168"/>
      <c r="AE126" s="1640"/>
      <c r="AF126" s="574"/>
      <c r="AG126" s="574"/>
      <c r="AH126" s="574"/>
      <c r="AI126" s="574"/>
      <c r="AJ126" s="1649">
        <v>11</v>
      </c>
    </row>
    <row s="1649" customFormat="1" customHeight="1" ht="11.549999999999999">
      <c r="A127" s="995"/>
      <c r="B127" s="1644"/>
      <c r="C127" s="1644"/>
      <c r="D127" s="359"/>
      <c r="J127" s="1649"/>
      <c r="K127" s="1649"/>
      <c r="L127" s="1649"/>
      <c r="M127" s="1649"/>
      <c r="O127" s="1168"/>
      <c r="P127" s="1644"/>
      <c r="Q127" s="1644"/>
      <c r="R127" s="1168"/>
      <c r="S127" s="1168"/>
      <c r="T127" s="1168"/>
      <c r="U127" s="1168"/>
      <c r="V127" s="1644"/>
      <c r="W127" s="1168"/>
      <c r="X127" s="1168"/>
      <c r="Y127" s="552"/>
      <c r="Z127" s="1168"/>
      <c r="AA127" s="1168"/>
      <c r="AB127" s="1168"/>
      <c r="AC127" s="1168"/>
      <c r="AD127" s="1168"/>
      <c r="AE127" s="1640"/>
      <c r="AF127" s="574"/>
      <c r="AG127" s="574"/>
      <c r="AH127" s="574"/>
      <c r="AI127" s="574"/>
      <c r="AJ127" s="1649">
        <v>11</v>
      </c>
    </row>
    <row s="1649" customFormat="1" customHeight="1" ht="11.549999999999999">
      <c r="A128" s="995"/>
      <c r="B128" s="1644"/>
      <c r="C128" s="1644"/>
      <c r="D128" s="359"/>
      <c r="J128" s="1649"/>
      <c r="K128" s="1649"/>
      <c r="L128" s="1649"/>
      <c r="M128" s="1649"/>
      <c r="O128" s="1168"/>
      <c r="P128" s="1644"/>
      <c r="Q128" s="1644"/>
      <c r="R128" s="1168"/>
      <c r="S128" s="1168"/>
      <c r="T128" s="1168"/>
      <c r="U128" s="1168"/>
      <c r="V128" s="1644"/>
      <c r="W128" s="1168"/>
      <c r="X128" s="1168"/>
      <c r="Y128" s="552"/>
      <c r="Z128" s="1168"/>
      <c r="AA128" s="1168"/>
      <c r="AB128" s="1168"/>
      <c r="AC128" s="1168"/>
      <c r="AD128" s="1168"/>
      <c r="AE128" s="1640"/>
      <c r="AF128" s="574"/>
      <c r="AG128" s="574"/>
      <c r="AH128" s="574"/>
      <c r="AI128" s="574"/>
      <c r="AJ128" s="1649">
        <v>11</v>
      </c>
    </row>
    <row s="1649" customFormat="1" customHeight="1" ht="11.549999999999999">
      <c r="A129" s="995"/>
      <c r="B129" s="1644"/>
      <c r="C129" s="1644"/>
      <c r="D129" s="359"/>
      <c r="J129" s="1649"/>
      <c r="K129" s="1649"/>
      <c r="L129" s="1649"/>
      <c r="M129" s="1649"/>
      <c r="O129" s="1168"/>
      <c r="P129" s="1644"/>
      <c r="Q129" s="1644"/>
      <c r="R129" s="1168"/>
      <c r="S129" s="1168"/>
      <c r="T129" s="1168"/>
      <c r="U129" s="1168"/>
      <c r="V129" s="1644"/>
      <c r="W129" s="1168"/>
      <c r="X129" s="1168"/>
      <c r="Y129" s="552"/>
      <c r="Z129" s="1168"/>
      <c r="AA129" s="1168"/>
      <c r="AB129" s="1168"/>
      <c r="AC129" s="1168"/>
      <c r="AD129" s="1168"/>
      <c r="AE129" s="1640"/>
      <c r="AF129" s="574"/>
      <c r="AG129" s="574"/>
      <c r="AH129" s="574"/>
      <c r="AI129" s="574"/>
      <c r="AJ129" s="1649">
        <v>11</v>
      </c>
    </row>
    <row s="1649" customFormat="1" customHeight="1" ht="11.549999999999999">
      <c r="A130" s="995"/>
      <c r="B130" s="1644"/>
      <c r="C130" s="1644"/>
      <c r="D130" s="359"/>
      <c r="J130" s="1649"/>
      <c r="K130" s="1649"/>
      <c r="L130" s="1649"/>
      <c r="M130" s="1649"/>
      <c r="O130" s="1168"/>
      <c r="P130" s="1644"/>
      <c r="Q130" s="1644"/>
      <c r="R130" s="1168"/>
      <c r="S130" s="1168"/>
      <c r="T130" s="1168"/>
      <c r="U130" s="1168"/>
      <c r="V130" s="1644"/>
      <c r="W130" s="1168"/>
      <c r="X130" s="1168"/>
      <c r="Y130" s="552"/>
      <c r="Z130" s="1168"/>
      <c r="AA130" s="1168"/>
      <c r="AB130" s="1168"/>
      <c r="AC130" s="1168"/>
      <c r="AD130" s="1168"/>
      <c r="AE130" s="1640"/>
      <c r="AF130" s="574"/>
      <c r="AG130" s="574"/>
      <c r="AH130" s="574"/>
      <c r="AI130" s="574"/>
      <c r="AJ130" s="1649">
        <v>11</v>
      </c>
    </row>
    <row s="1649" customFormat="1" customHeight="1" ht="11.549999999999999">
      <c r="A131" s="995"/>
      <c r="B131" s="1644"/>
      <c r="C131" s="1644"/>
      <c r="D131" s="359"/>
      <c r="J131" s="1649"/>
      <c r="K131" s="1649"/>
      <c r="L131" s="1649"/>
      <c r="M131" s="1649"/>
      <c r="O131" s="1168"/>
      <c r="P131" s="1644"/>
      <c r="Q131" s="1644"/>
      <c r="R131" s="1168"/>
      <c r="S131" s="1168"/>
      <c r="T131" s="1168"/>
      <c r="U131" s="1168"/>
      <c r="V131" s="1644"/>
      <c r="W131" s="1168"/>
      <c r="X131" s="1168"/>
      <c r="Y131" s="552"/>
      <c r="Z131" s="1168"/>
      <c r="AA131" s="1168"/>
      <c r="AB131" s="1168"/>
      <c r="AC131" s="1168"/>
      <c r="AD131" s="1168"/>
      <c r="AE131" s="1640"/>
      <c r="AF131" s="574"/>
      <c r="AG131" s="574"/>
      <c r="AH131" s="574"/>
      <c r="AI131" s="574"/>
      <c r="AJ131" s="1649">
        <v>11</v>
      </c>
    </row>
    <row s="1649" customFormat="1" customHeight="1" ht="11.549999999999999">
      <c r="A132" s="995"/>
      <c r="B132" s="1644"/>
      <c r="C132" s="1644"/>
      <c r="D132" s="359"/>
      <c r="J132" s="1649"/>
      <c r="K132" s="1649"/>
      <c r="L132" s="1649"/>
      <c r="M132" s="1649"/>
      <c r="O132" s="1168"/>
      <c r="P132" s="1644"/>
      <c r="Q132" s="1644"/>
      <c r="R132" s="1168"/>
      <c r="S132" s="1168"/>
      <c r="T132" s="1168"/>
      <c r="U132" s="1168"/>
      <c r="V132" s="1644"/>
      <c r="W132" s="1168"/>
      <c r="X132" s="1168"/>
      <c r="Y132" s="552"/>
      <c r="Z132" s="1168"/>
      <c r="AA132" s="1168"/>
      <c r="AB132" s="1168"/>
      <c r="AC132" s="1168"/>
      <c r="AD132" s="1168"/>
      <c r="AE132" s="1640"/>
      <c r="AF132" s="574"/>
      <c r="AG132" s="574"/>
      <c r="AH132" s="574"/>
      <c r="AI132" s="574"/>
      <c r="AJ132" s="1649">
        <v>11</v>
      </c>
    </row>
    <row s="1649" customFormat="1" customHeight="1" ht="11.549999999999999">
      <c r="A133" s="995"/>
      <c r="B133" s="1644"/>
      <c r="C133" s="1644"/>
      <c r="D133" s="359"/>
      <c r="J133" s="1649"/>
      <c r="K133" s="1649"/>
      <c r="L133" s="1649"/>
      <c r="M133" s="1649"/>
      <c r="O133" s="1168"/>
      <c r="P133" s="1644"/>
      <c r="Q133" s="1644"/>
      <c r="R133" s="1168"/>
      <c r="S133" s="1168"/>
      <c r="T133" s="1168"/>
      <c r="U133" s="1168"/>
      <c r="V133" s="1644"/>
      <c r="W133" s="1168"/>
      <c r="X133" s="1168"/>
      <c r="Y133" s="552"/>
      <c r="Z133" s="1168"/>
      <c r="AA133" s="1168"/>
      <c r="AB133" s="1168"/>
      <c r="AC133" s="1168"/>
      <c r="AD133" s="1168"/>
      <c r="AE133" s="1640"/>
      <c r="AF133" s="574"/>
      <c r="AG133" s="574"/>
      <c r="AH133" s="574"/>
      <c r="AI133" s="574"/>
      <c r="AJ133" s="1649">
        <v>11</v>
      </c>
    </row>
    <row s="1649" customFormat="1" customHeight="1" ht="11.549999999999999">
      <c r="A134" s="995"/>
      <c r="B134" s="1644"/>
      <c r="C134" s="1644"/>
      <c r="D134" s="359"/>
      <c r="J134" s="1649"/>
      <c r="K134" s="1649"/>
      <c r="L134" s="1649"/>
      <c r="M134" s="1649"/>
      <c r="O134" s="1168"/>
      <c r="P134" s="1644"/>
      <c r="Q134" s="1644"/>
      <c r="R134" s="1168"/>
      <c r="S134" s="1168"/>
      <c r="T134" s="1168"/>
      <c r="U134" s="1168"/>
      <c r="V134" s="1644"/>
      <c r="W134" s="1168"/>
      <c r="X134" s="1168"/>
      <c r="Y134" s="552"/>
      <c r="Z134" s="1168"/>
      <c r="AA134" s="1168"/>
      <c r="AB134" s="1168"/>
      <c r="AC134" s="1168"/>
      <c r="AD134" s="1168"/>
      <c r="AE134" s="1640"/>
      <c r="AF134" s="574"/>
      <c r="AG134" s="574"/>
      <c r="AH134" s="574"/>
      <c r="AI134" s="574"/>
      <c r="AJ134" s="1649">
        <v>11</v>
      </c>
    </row>
    <row s="1649" customFormat="1" customHeight="1" ht="11.549999999999999">
      <c r="A135" s="995"/>
      <c r="B135" s="1644"/>
      <c r="C135" s="1644"/>
      <c r="D135" s="359"/>
      <c r="J135" s="1649"/>
      <c r="K135" s="1649"/>
      <c r="L135" s="1649"/>
      <c r="M135" s="1649"/>
      <c r="O135" s="1168"/>
      <c r="P135" s="1644"/>
      <c r="Q135" s="1644"/>
      <c r="R135" s="1168"/>
      <c r="S135" s="1168"/>
      <c r="T135" s="1168"/>
      <c r="U135" s="1168"/>
      <c r="V135" s="1644"/>
      <c r="W135" s="1168"/>
      <c r="X135" s="1168"/>
      <c r="Y135" s="552"/>
      <c r="Z135" s="1168"/>
      <c r="AA135" s="1168"/>
      <c r="AB135" s="1168"/>
      <c r="AC135" s="1168"/>
      <c r="AD135" s="1168"/>
      <c r="AE135" s="1640"/>
      <c r="AF135" s="574"/>
      <c r="AG135" s="574"/>
      <c r="AH135" s="574"/>
      <c r="AI135" s="574"/>
      <c r="AJ135" s="1649">
        <v>11</v>
      </c>
    </row>
    <row s="1649" customFormat="1" customHeight="1" ht="11.549999999999999">
      <c r="A136" s="995"/>
      <c r="B136" s="1644"/>
      <c r="C136" s="1644"/>
      <c r="D136" s="359"/>
      <c r="J136" s="1649"/>
      <c r="K136" s="1649"/>
      <c r="L136" s="1649"/>
      <c r="M136" s="1649"/>
      <c r="O136" s="1168"/>
      <c r="P136" s="1644"/>
      <c r="Q136" s="1644"/>
      <c r="R136" s="1168"/>
      <c r="S136" s="1168"/>
      <c r="T136" s="1168"/>
      <c r="U136" s="1168"/>
      <c r="V136" s="1644"/>
      <c r="W136" s="1168"/>
      <c r="X136" s="1168"/>
      <c r="Y136" s="552"/>
      <c r="Z136" s="1168"/>
      <c r="AA136" s="1168"/>
      <c r="AB136" s="1168"/>
      <c r="AC136" s="1168"/>
      <c r="AD136" s="1168"/>
      <c r="AE136" s="1640"/>
      <c r="AF136" s="574"/>
      <c r="AG136" s="574"/>
      <c r="AH136" s="574"/>
      <c r="AI136" s="574"/>
      <c r="AJ136" s="1649">
        <v>11</v>
      </c>
    </row>
    <row s="1649" customFormat="1" customHeight="1" ht="11.549999999999999">
      <c r="A137" s="995"/>
      <c r="B137" s="1644"/>
      <c r="C137" s="1644"/>
      <c r="D137" s="359"/>
      <c r="J137" s="1649"/>
      <c r="K137" s="1649"/>
      <c r="L137" s="1649"/>
      <c r="M137" s="1649"/>
      <c r="O137" s="1168"/>
      <c r="P137" s="1644"/>
      <c r="Q137" s="1644"/>
      <c r="R137" s="1168"/>
      <c r="S137" s="1168"/>
      <c r="T137" s="1168"/>
      <c r="U137" s="1168"/>
      <c r="V137" s="1644"/>
      <c r="W137" s="1168"/>
      <c r="X137" s="1168"/>
      <c r="Y137" s="552"/>
      <c r="Z137" s="1168"/>
      <c r="AA137" s="1168"/>
      <c r="AB137" s="1168"/>
      <c r="AC137" s="1168"/>
      <c r="AD137" s="1168"/>
      <c r="AE137" s="1640"/>
      <c r="AF137" s="574"/>
      <c r="AG137" s="574"/>
      <c r="AH137" s="574"/>
      <c r="AI137" s="574"/>
      <c r="AJ137" s="1649">
        <v>11</v>
      </c>
    </row>
    <row s="1649" customFormat="1" customHeight="1" ht="11.549999999999999">
      <c r="A138" s="995"/>
      <c r="B138" s="1644"/>
      <c r="C138" s="1644"/>
      <c r="D138" s="359"/>
      <c r="J138" s="1649"/>
      <c r="K138" s="1649"/>
      <c r="L138" s="1649"/>
      <c r="M138" s="1649"/>
      <c r="O138" s="1168"/>
      <c r="P138" s="1644"/>
      <c r="Q138" s="1644"/>
      <c r="R138" s="1168"/>
      <c r="S138" s="1168"/>
      <c r="T138" s="1168"/>
      <c r="U138" s="1168"/>
      <c r="V138" s="1644"/>
      <c r="W138" s="1168"/>
      <c r="X138" s="1168"/>
      <c r="Y138" s="552"/>
      <c r="Z138" s="1168"/>
      <c r="AA138" s="1168"/>
      <c r="AB138" s="1168"/>
      <c r="AC138" s="1168"/>
      <c r="AD138" s="1168"/>
      <c r="AE138" s="1640"/>
      <c r="AF138" s="574"/>
      <c r="AG138" s="574"/>
      <c r="AH138" s="574"/>
      <c r="AI138" s="574"/>
      <c r="AJ138" s="1649">
        <v>11</v>
      </c>
    </row>
    <row s="1649" customFormat="1" customHeight="1" ht="11.549999999999999">
      <c r="A139" s="995"/>
      <c r="B139" s="1644"/>
      <c r="C139" s="1644"/>
      <c r="D139" s="359"/>
      <c r="J139" s="1649"/>
      <c r="K139" s="1649"/>
      <c r="L139" s="1649"/>
      <c r="M139" s="1649"/>
      <c r="O139" s="1168"/>
      <c r="P139" s="1644"/>
      <c r="Q139" s="1644"/>
      <c r="R139" s="1168"/>
      <c r="S139" s="1168"/>
      <c r="T139" s="1168"/>
      <c r="U139" s="1168"/>
      <c r="V139" s="1644"/>
      <c r="W139" s="1168"/>
      <c r="X139" s="1168"/>
      <c r="Y139" s="552"/>
      <c r="Z139" s="1168"/>
      <c r="AA139" s="1168"/>
      <c r="AB139" s="1168"/>
      <c r="AC139" s="1168"/>
      <c r="AD139" s="1168"/>
      <c r="AE139" s="1640"/>
      <c r="AF139" s="574"/>
      <c r="AG139" s="574"/>
      <c r="AH139" s="574"/>
      <c r="AI139" s="574"/>
      <c r="AJ139" s="1649">
        <v>11</v>
      </c>
    </row>
    <row s="1649" customFormat="1" customHeight="1" ht="11.549999999999999">
      <c r="A140" s="995"/>
      <c r="B140" s="1644"/>
      <c r="C140" s="1644"/>
      <c r="D140" s="359"/>
      <c r="J140" s="1649"/>
      <c r="K140" s="1649"/>
      <c r="L140" s="1649"/>
      <c r="M140" s="1649"/>
      <c r="O140" s="1168"/>
      <c r="P140" s="1644"/>
      <c r="Q140" s="1644"/>
      <c r="R140" s="1168"/>
      <c r="S140" s="1168"/>
      <c r="T140" s="1168"/>
      <c r="U140" s="1168"/>
      <c r="V140" s="1644"/>
      <c r="W140" s="1168"/>
      <c r="X140" s="1168"/>
      <c r="Y140" s="552"/>
      <c r="Z140" s="1168"/>
      <c r="AA140" s="1168"/>
      <c r="AB140" s="1168"/>
      <c r="AC140" s="1168"/>
      <c r="AD140" s="1168"/>
      <c r="AE140" s="1640"/>
      <c r="AF140" s="574"/>
      <c r="AG140" s="574"/>
      <c r="AH140" s="574"/>
      <c r="AI140" s="574"/>
      <c r="AJ140" s="1649">
        <v>11</v>
      </c>
    </row>
    <row s="1649" customFormat="1" customHeight="1" ht="11.549999999999999">
      <c r="A141" s="995"/>
      <c r="B141" s="1644"/>
      <c r="C141" s="1644"/>
      <c r="D141" s="359"/>
      <c r="J141" s="1649"/>
      <c r="K141" s="1649"/>
      <c r="L141" s="1649"/>
      <c r="M141" s="1649"/>
      <c r="O141" s="1168"/>
      <c r="P141" s="1644"/>
      <c r="Q141" s="1644"/>
      <c r="R141" s="1168"/>
      <c r="S141" s="1168"/>
      <c r="T141" s="1168"/>
      <c r="U141" s="1168"/>
      <c r="V141" s="1644"/>
      <c r="W141" s="1168"/>
      <c r="X141" s="1168"/>
      <c r="Y141" s="552"/>
      <c r="Z141" s="1168"/>
      <c r="AA141" s="1168"/>
      <c r="AB141" s="1168"/>
      <c r="AC141" s="1168"/>
      <c r="AD141" s="1168"/>
      <c r="AE141" s="1640"/>
      <c r="AF141" s="574"/>
      <c r="AG141" s="574"/>
      <c r="AH141" s="574"/>
      <c r="AI141" s="574"/>
      <c r="AJ141" s="1649">
        <v>11</v>
      </c>
    </row>
    <row s="1649" customFormat="1" customHeight="1" ht="11.549999999999999">
      <c r="A142" s="995"/>
      <c r="B142" s="1644"/>
      <c r="C142" s="1644"/>
      <c r="D142" s="359"/>
      <c r="J142" s="1649"/>
      <c r="K142" s="1649"/>
      <c r="L142" s="1649"/>
      <c r="M142" s="1649"/>
      <c r="O142" s="1168"/>
      <c r="P142" s="1644"/>
      <c r="Q142" s="1644"/>
      <c r="R142" s="1168"/>
      <c r="S142" s="1168"/>
      <c r="T142" s="1168"/>
      <c r="U142" s="1168"/>
      <c r="V142" s="1644"/>
      <c r="W142" s="1168"/>
      <c r="X142" s="1168"/>
      <c r="Y142" s="552"/>
      <c r="Z142" s="1168"/>
      <c r="AA142" s="1168"/>
      <c r="AB142" s="1168"/>
      <c r="AC142" s="1168"/>
      <c r="AD142" s="1168"/>
      <c r="AE142" s="1640"/>
      <c r="AF142" s="574"/>
      <c r="AG142" s="574"/>
      <c r="AH142" s="574"/>
      <c r="AI142" s="574"/>
      <c r="AJ142" s="1649">
        <v>11</v>
      </c>
    </row>
    <row s="1649" customFormat="1" customHeight="1" ht="11.549999999999999">
      <c r="A143" s="995"/>
      <c r="B143" s="1644"/>
      <c r="C143" s="1644"/>
      <c r="D143" s="359"/>
      <c r="J143" s="1649"/>
      <c r="K143" s="1649"/>
      <c r="L143" s="1649"/>
      <c r="M143" s="1649"/>
      <c r="O143" s="1168"/>
      <c r="P143" s="1644"/>
      <c r="Q143" s="1644"/>
      <c r="R143" s="1168"/>
      <c r="S143" s="1168"/>
      <c r="T143" s="1168"/>
      <c r="U143" s="1168"/>
      <c r="V143" s="1644"/>
      <c r="W143" s="1168"/>
      <c r="X143" s="1168"/>
      <c r="Y143" s="552"/>
      <c r="Z143" s="1168"/>
      <c r="AA143" s="1168"/>
      <c r="AB143" s="1168"/>
      <c r="AC143" s="1168"/>
      <c r="AD143" s="1168"/>
      <c r="AE143" s="1640"/>
      <c r="AF143" s="574"/>
      <c r="AG143" s="574"/>
      <c r="AH143" s="574"/>
      <c r="AI143" s="574"/>
      <c r="AJ143" s="1649">
        <v>11</v>
      </c>
    </row>
    <row s="1649" customFormat="1" customHeight="1" ht="11.549999999999999">
      <c r="A144" s="995"/>
      <c r="B144" s="1644"/>
      <c r="C144" s="1644"/>
      <c r="D144" s="359"/>
      <c r="J144" s="1649"/>
      <c r="K144" s="1649"/>
      <c r="L144" s="1649"/>
      <c r="M144" s="1649"/>
      <c r="O144" s="1168"/>
      <c r="P144" s="1644"/>
      <c r="Q144" s="1644"/>
      <c r="R144" s="1168"/>
      <c r="S144" s="1168"/>
      <c r="T144" s="1168"/>
      <c r="U144" s="1168"/>
      <c r="V144" s="1644"/>
      <c r="W144" s="1168"/>
      <c r="X144" s="1168"/>
      <c r="Y144" s="552"/>
      <c r="Z144" s="1168"/>
      <c r="AA144" s="1168"/>
      <c r="AB144" s="1168"/>
      <c r="AC144" s="1168"/>
      <c r="AD144" s="1168"/>
      <c r="AE144" s="1640"/>
      <c r="AF144" s="574"/>
      <c r="AG144" s="574"/>
      <c r="AH144" s="574"/>
      <c r="AI144" s="574"/>
      <c r="AJ144" s="1649">
        <v>11</v>
      </c>
    </row>
    <row s="1649" customFormat="1" customHeight="1" ht="11.549999999999999">
      <c r="A145" s="995"/>
      <c r="B145" s="1644"/>
      <c r="C145" s="1644"/>
      <c r="D145" s="359"/>
      <c r="J145" s="1649"/>
      <c r="K145" s="1649"/>
      <c r="L145" s="1649"/>
      <c r="M145" s="1649"/>
      <c r="O145" s="1168"/>
      <c r="P145" s="1644"/>
      <c r="Q145" s="1644"/>
      <c r="R145" s="1168"/>
      <c r="S145" s="1168"/>
      <c r="T145" s="1168"/>
      <c r="U145" s="1168"/>
      <c r="V145" s="1644"/>
      <c r="W145" s="1168"/>
      <c r="X145" s="1168"/>
      <c r="Y145" s="552"/>
      <c r="Z145" s="1168"/>
      <c r="AA145" s="1168"/>
      <c r="AB145" s="1168"/>
      <c r="AC145" s="1168"/>
      <c r="AD145" s="1168"/>
      <c r="AE145" s="1640"/>
      <c r="AF145" s="574"/>
      <c r="AG145" s="574"/>
      <c r="AH145" s="574"/>
      <c r="AI145" s="574"/>
      <c r="AJ145" s="1649">
        <v>11</v>
      </c>
    </row>
    <row s="1649" customFormat="1" customHeight="1" ht="11.549999999999999">
      <c r="A146" s="995"/>
      <c r="B146" s="1644"/>
      <c r="C146" s="1644"/>
      <c r="D146" s="359"/>
      <c r="J146" s="1649"/>
      <c r="K146" s="1649"/>
      <c r="L146" s="1649"/>
      <c r="M146" s="1649"/>
      <c r="O146" s="1168"/>
      <c r="P146" s="1644"/>
      <c r="Q146" s="1644"/>
      <c r="R146" s="1168"/>
      <c r="S146" s="1168"/>
      <c r="T146" s="1168"/>
      <c r="U146" s="1168"/>
      <c r="V146" s="1644"/>
      <c r="W146" s="1168"/>
      <c r="X146" s="1168"/>
      <c r="Y146" s="552"/>
      <c r="Z146" s="1168"/>
      <c r="AA146" s="1168"/>
      <c r="AB146" s="1168"/>
      <c r="AC146" s="1168"/>
      <c r="AD146" s="1168"/>
      <c r="AE146" s="1640"/>
      <c r="AF146" s="574"/>
      <c r="AG146" s="574"/>
      <c r="AH146" s="574"/>
      <c r="AI146" s="574"/>
      <c r="AJ146" s="1649">
        <v>11</v>
      </c>
    </row>
    <row s="1649" customFormat="1" customHeight="1" ht="11.549999999999999">
      <c r="A147" s="995"/>
      <c r="B147" s="1644"/>
      <c r="C147" s="1644"/>
      <c r="D147" s="359"/>
      <c r="J147" s="1649"/>
      <c r="K147" s="1649"/>
      <c r="L147" s="1649"/>
      <c r="M147" s="1649"/>
      <c r="O147" s="1168"/>
      <c r="P147" s="1644"/>
      <c r="Q147" s="1644"/>
      <c r="R147" s="1168"/>
      <c r="S147" s="1168"/>
      <c r="T147" s="1168"/>
      <c r="U147" s="1168"/>
      <c r="V147" s="1644"/>
      <c r="W147" s="1168"/>
      <c r="X147" s="1168"/>
      <c r="Y147" s="552"/>
      <c r="Z147" s="1168"/>
      <c r="AA147" s="1168"/>
      <c r="AB147" s="1168"/>
      <c r="AC147" s="1168"/>
      <c r="AD147" s="1168"/>
      <c r="AE147" s="1640"/>
      <c r="AF147" s="574"/>
      <c r="AG147" s="574"/>
      <c r="AH147" s="574"/>
      <c r="AI147" s="574"/>
      <c r="AJ147" s="1649">
        <v>11</v>
      </c>
    </row>
    <row s="1649" customFormat="1" customHeight="1" ht="11.549999999999999">
      <c r="A148" s="995"/>
      <c r="B148" s="1644"/>
      <c r="C148" s="1644"/>
      <c r="D148" s="359"/>
      <c r="J148" s="1649"/>
      <c r="K148" s="1649"/>
      <c r="L148" s="1649"/>
      <c r="M148" s="1649"/>
      <c r="O148" s="1168"/>
      <c r="P148" s="1644"/>
      <c r="Q148" s="1644"/>
      <c r="R148" s="1168"/>
      <c r="S148" s="1168"/>
      <c r="T148" s="1168"/>
      <c r="U148" s="1168"/>
      <c r="V148" s="1644"/>
      <c r="W148" s="1168"/>
      <c r="X148" s="1168"/>
      <c r="Y148" s="552"/>
      <c r="Z148" s="1168"/>
      <c r="AA148" s="1168"/>
      <c r="AB148" s="1168"/>
      <c r="AC148" s="1168"/>
      <c r="AD148" s="1168"/>
      <c r="AE148" s="1640"/>
      <c r="AF148" s="574"/>
      <c r="AG148" s="574"/>
      <c r="AH148" s="574"/>
      <c r="AI148" s="574"/>
      <c r="AJ148" s="1649">
        <v>11</v>
      </c>
    </row>
    <row s="1649" customFormat="1" customHeight="1" ht="11.549999999999999">
      <c r="A149" s="995"/>
      <c r="B149" s="1644"/>
      <c r="C149" s="1644"/>
      <c r="D149" s="359"/>
      <c r="J149" s="1649"/>
      <c r="K149" s="1649"/>
      <c r="L149" s="1649"/>
      <c r="M149" s="1649"/>
      <c r="O149" s="1168"/>
      <c r="P149" s="1644"/>
      <c r="Q149" s="1644"/>
      <c r="R149" s="1168"/>
      <c r="S149" s="1168"/>
      <c r="T149" s="1168"/>
      <c r="U149" s="1168"/>
      <c r="V149" s="1644"/>
      <c r="W149" s="1168"/>
      <c r="X149" s="1168"/>
      <c r="Y149" s="552"/>
      <c r="Z149" s="1168"/>
      <c r="AA149" s="1168"/>
      <c r="AB149" s="1168"/>
      <c r="AC149" s="1168"/>
      <c r="AD149" s="1168"/>
      <c r="AE149" s="1640"/>
      <c r="AF149" s="574"/>
      <c r="AG149" s="574"/>
      <c r="AH149" s="574"/>
      <c r="AI149" s="574"/>
      <c r="AJ149" s="1649">
        <v>11</v>
      </c>
    </row>
    <row s="1649" customFormat="1" customHeight="1" ht="11.549999999999999">
      <c r="A150" s="995"/>
      <c r="B150" s="1644"/>
      <c r="C150" s="1644"/>
      <c r="D150" s="359"/>
      <c r="J150" s="1649"/>
      <c r="K150" s="1649"/>
      <c r="L150" s="1649"/>
      <c r="M150" s="1649"/>
      <c r="O150" s="1168"/>
      <c r="P150" s="1644"/>
      <c r="Q150" s="1644"/>
      <c r="R150" s="1168"/>
      <c r="S150" s="1168"/>
      <c r="T150" s="1168"/>
      <c r="U150" s="1168"/>
      <c r="V150" s="1644"/>
      <c r="W150" s="1168"/>
      <c r="X150" s="1168"/>
      <c r="Y150" s="552"/>
      <c r="Z150" s="1168"/>
      <c r="AA150" s="1168"/>
      <c r="AB150" s="1168"/>
      <c r="AC150" s="1168"/>
      <c r="AD150" s="1168"/>
      <c r="AE150" s="1640"/>
      <c r="AF150" s="574"/>
      <c r="AG150" s="574"/>
      <c r="AH150" s="574"/>
      <c r="AI150" s="574"/>
      <c r="AJ150" s="1649">
        <v>11</v>
      </c>
    </row>
    <row s="1649" customFormat="1" customHeight="1" ht="11.549999999999999">
      <c r="A151" s="995"/>
      <c r="B151" s="1644"/>
      <c r="C151" s="1644"/>
      <c r="D151" s="359"/>
      <c r="J151" s="1649"/>
      <c r="K151" s="1649"/>
      <c r="L151" s="1649"/>
      <c r="M151" s="1649"/>
      <c r="O151" s="1168"/>
      <c r="P151" s="1644"/>
      <c r="Q151" s="1644"/>
      <c r="R151" s="1168"/>
      <c r="S151" s="1168"/>
      <c r="T151" s="1168"/>
      <c r="U151" s="1168"/>
      <c r="V151" s="1644"/>
      <c r="W151" s="1168"/>
      <c r="X151" s="1168"/>
      <c r="Y151" s="552"/>
      <c r="Z151" s="1168"/>
      <c r="AA151" s="1168"/>
      <c r="AB151" s="1168"/>
      <c r="AC151" s="1168"/>
      <c r="AD151" s="1168"/>
      <c r="AE151" s="1640"/>
      <c r="AF151" s="574"/>
      <c r="AG151" s="574"/>
      <c r="AH151" s="574"/>
      <c r="AI151" s="574"/>
      <c r="AJ151" s="1649">
        <v>11</v>
      </c>
    </row>
    <row s="1649" customFormat="1" customHeight="1" ht="11.549999999999999">
      <c r="A152" s="995"/>
      <c r="B152" s="1644"/>
      <c r="C152" s="1644"/>
      <c r="D152" s="359"/>
      <c r="J152" s="1649"/>
      <c r="K152" s="1649"/>
      <c r="L152" s="1649"/>
      <c r="M152" s="1649"/>
      <c r="O152" s="1168"/>
      <c r="P152" s="1644"/>
      <c r="Q152" s="1644"/>
      <c r="R152" s="1168"/>
      <c r="S152" s="1168"/>
      <c r="T152" s="1168"/>
      <c r="U152" s="1168"/>
      <c r="V152" s="1644"/>
      <c r="W152" s="1168"/>
      <c r="X152" s="1168"/>
      <c r="Y152" s="552"/>
      <c r="Z152" s="1168"/>
      <c r="AA152" s="1168"/>
      <c r="AB152" s="1168"/>
      <c r="AC152" s="1168"/>
      <c r="AD152" s="1168"/>
      <c r="AE152" s="1640"/>
      <c r="AF152" s="574"/>
      <c r="AG152" s="574"/>
      <c r="AH152" s="574"/>
      <c r="AI152" s="574"/>
      <c r="AJ152" s="1649">
        <v>11</v>
      </c>
    </row>
    <row s="1649" customFormat="1" customHeight="1" ht="11.549999999999999">
      <c r="A153" s="995"/>
      <c r="B153" s="1644"/>
      <c r="C153" s="1644"/>
      <c r="D153" s="359"/>
      <c r="J153" s="1649"/>
      <c r="K153" s="1649"/>
      <c r="L153" s="1649"/>
      <c r="M153" s="1649"/>
      <c r="O153" s="1168"/>
      <c r="P153" s="1644"/>
      <c r="Q153" s="1644"/>
      <c r="R153" s="1168"/>
      <c r="S153" s="1168"/>
      <c r="T153" s="1168"/>
      <c r="U153" s="1168"/>
      <c r="V153" s="1644"/>
      <c r="W153" s="1168"/>
      <c r="X153" s="1168"/>
      <c r="Y153" s="552"/>
      <c r="Z153" s="1168"/>
      <c r="AA153" s="1168"/>
      <c r="AB153" s="1168"/>
      <c r="AC153" s="1168"/>
      <c r="AD153" s="1168"/>
      <c r="AE153" s="1640"/>
      <c r="AF153" s="574"/>
      <c r="AG153" s="574"/>
      <c r="AH153" s="574"/>
      <c r="AI153" s="574"/>
      <c r="AJ153" s="1649">
        <v>11</v>
      </c>
    </row>
    <row s="1649" customFormat="1" customHeight="1" ht="11.549999999999999">
      <c r="A154" s="995"/>
      <c r="B154" s="1644"/>
      <c r="C154" s="1644"/>
      <c r="D154" s="359"/>
      <c r="J154" s="1649"/>
      <c r="K154" s="1649"/>
      <c r="L154" s="1649"/>
      <c r="M154" s="1649"/>
      <c r="O154" s="1168"/>
      <c r="P154" s="1644"/>
      <c r="Q154" s="1644"/>
      <c r="R154" s="1168"/>
      <c r="S154" s="1168"/>
      <c r="T154" s="1168"/>
      <c r="U154" s="1168"/>
      <c r="V154" s="1644"/>
      <c r="W154" s="1168"/>
      <c r="X154" s="1168"/>
      <c r="Y154" s="552"/>
      <c r="Z154" s="1168"/>
      <c r="AA154" s="1168"/>
      <c r="AB154" s="1168"/>
      <c r="AC154" s="1168"/>
      <c r="AD154" s="1168"/>
      <c r="AE154" s="1640"/>
      <c r="AF154" s="574"/>
      <c r="AG154" s="574"/>
      <c r="AH154" s="574"/>
      <c r="AI154" s="574"/>
      <c r="AJ154" s="1649">
        <v>11</v>
      </c>
    </row>
    <row s="1649" customFormat="1" customHeight="1" ht="11.549999999999999">
      <c r="A155" s="995"/>
      <c r="B155" s="1644"/>
      <c r="C155" s="1644"/>
      <c r="D155" s="359"/>
      <c r="J155" s="1649"/>
      <c r="K155" s="1649"/>
      <c r="L155" s="1649"/>
      <c r="M155" s="1649"/>
      <c r="O155" s="1168"/>
      <c r="P155" s="1644"/>
      <c r="Q155" s="1644"/>
      <c r="R155" s="1168"/>
      <c r="S155" s="1168"/>
      <c r="T155" s="1168"/>
      <c r="U155" s="1168"/>
      <c r="V155" s="1644"/>
      <c r="W155" s="1168"/>
      <c r="X155" s="1168"/>
      <c r="Y155" s="552"/>
      <c r="Z155" s="1168"/>
      <c r="AA155" s="1168"/>
      <c r="AB155" s="1168"/>
      <c r="AC155" s="1168"/>
      <c r="AD155" s="1168"/>
      <c r="AE155" s="1640"/>
      <c r="AF155" s="574"/>
      <c r="AG155" s="574"/>
      <c r="AH155" s="574"/>
      <c r="AI155" s="574"/>
      <c r="AJ155" s="1649">
        <v>11</v>
      </c>
    </row>
    <row s="1649" customFormat="1" customHeight="1" ht="11.549999999999999">
      <c r="A156" s="995"/>
      <c r="B156" s="1644"/>
      <c r="C156" s="1644"/>
      <c r="D156" s="359"/>
      <c r="J156" s="1649"/>
      <c r="K156" s="1649"/>
      <c r="L156" s="1649"/>
      <c r="M156" s="1649"/>
      <c r="O156" s="1168"/>
      <c r="P156" s="1644"/>
      <c r="Q156" s="1644"/>
      <c r="R156" s="1168"/>
      <c r="S156" s="1168"/>
      <c r="T156" s="1168"/>
      <c r="U156" s="1168"/>
      <c r="V156" s="1644"/>
      <c r="W156" s="1168"/>
      <c r="X156" s="1168"/>
      <c r="Y156" s="552"/>
      <c r="Z156" s="1168"/>
      <c r="AA156" s="1168"/>
      <c r="AB156" s="1168"/>
      <c r="AC156" s="1168"/>
      <c r="AD156" s="1168"/>
      <c r="AE156" s="1640"/>
      <c r="AF156" s="574"/>
      <c r="AG156" s="574"/>
      <c r="AH156" s="574"/>
      <c r="AI156" s="574"/>
      <c r="AJ156" s="1649">
        <v>11</v>
      </c>
    </row>
    <row s="1649" customFormat="1" customHeight="1" ht="11.549999999999999">
      <c r="A157" s="995"/>
      <c r="B157" s="1644"/>
      <c r="C157" s="1644"/>
      <c r="D157" s="359"/>
      <c r="J157" s="1649"/>
      <c r="K157" s="1649"/>
      <c r="L157" s="1649"/>
      <c r="M157" s="1649"/>
      <c r="O157" s="1168"/>
      <c r="P157" s="1644"/>
      <c r="Q157" s="1644"/>
      <c r="R157" s="1168"/>
      <c r="S157" s="1168"/>
      <c r="T157" s="1168"/>
      <c r="U157" s="1168"/>
      <c r="V157" s="1644"/>
      <c r="W157" s="1168"/>
      <c r="X157" s="1168"/>
      <c r="Y157" s="552"/>
      <c r="Z157" s="1168"/>
      <c r="AA157" s="1168"/>
      <c r="AB157" s="1168"/>
      <c r="AC157" s="1168"/>
      <c r="AD157" s="1168"/>
      <c r="AE157" s="1640"/>
      <c r="AF157" s="574"/>
      <c r="AG157" s="574"/>
      <c r="AH157" s="574"/>
      <c r="AI157" s="574"/>
      <c r="AJ157" s="1649">
        <v>11</v>
      </c>
    </row>
    <row s="1649" customFormat="1" customHeight="1" ht="11.549999999999999">
      <c r="A158" s="995"/>
      <c r="B158" s="1644"/>
      <c r="C158" s="1644"/>
      <c r="D158" s="359"/>
      <c r="J158" s="1649"/>
      <c r="K158" s="1649"/>
      <c r="L158" s="1649"/>
      <c r="M158" s="1649"/>
      <c r="O158" s="1168"/>
      <c r="P158" s="1644"/>
      <c r="Q158" s="1644"/>
      <c r="R158" s="1168"/>
      <c r="S158" s="1168"/>
      <c r="T158" s="1168"/>
      <c r="U158" s="1168"/>
      <c r="V158" s="1644"/>
      <c r="W158" s="1168"/>
      <c r="X158" s="1168"/>
      <c r="Y158" s="552"/>
      <c r="Z158" s="1168"/>
      <c r="AA158" s="1168"/>
      <c r="AB158" s="1168"/>
      <c r="AC158" s="1168"/>
      <c r="AD158" s="1168"/>
      <c r="AE158" s="1640"/>
      <c r="AF158" s="574"/>
      <c r="AG158" s="574"/>
      <c r="AH158" s="574"/>
      <c r="AI158" s="574"/>
      <c r="AJ158" s="1649">
        <v>11</v>
      </c>
    </row>
    <row s="1649" customFormat="1" customHeight="1" ht="11.549999999999999">
      <c r="A159" s="995"/>
      <c r="B159" s="1644"/>
      <c r="C159" s="1644"/>
      <c r="D159" s="359"/>
      <c r="J159" s="1649"/>
      <c r="K159" s="1649"/>
      <c r="L159" s="1649"/>
      <c r="M159" s="1649"/>
      <c r="O159" s="1168"/>
      <c r="P159" s="1644"/>
      <c r="Q159" s="1644"/>
      <c r="R159" s="1168"/>
      <c r="S159" s="1168"/>
      <c r="T159" s="1168"/>
      <c r="U159" s="1168"/>
      <c r="V159" s="1644"/>
      <c r="W159" s="1168"/>
      <c r="X159" s="1168"/>
      <c r="Y159" s="552"/>
      <c r="Z159" s="1168"/>
      <c r="AA159" s="1168"/>
      <c r="AB159" s="1168"/>
      <c r="AC159" s="1168"/>
      <c r="AD159" s="1168"/>
      <c r="AE159" s="1640"/>
      <c r="AF159" s="574"/>
      <c r="AG159" s="574"/>
      <c r="AH159" s="574"/>
      <c r="AI159" s="574"/>
      <c r="AJ159" s="1649">
        <v>11</v>
      </c>
    </row>
    <row s="1649" customFormat="1" customHeight="1" ht="11.549999999999999">
      <c r="A160" s="995"/>
      <c r="B160" s="1644"/>
      <c r="C160" s="1644"/>
      <c r="D160" s="359"/>
      <c r="J160" s="1649"/>
      <c r="K160" s="1649"/>
      <c r="L160" s="1649"/>
      <c r="M160" s="1649"/>
      <c r="O160" s="1168"/>
      <c r="P160" s="1644"/>
      <c r="Q160" s="1644"/>
      <c r="R160" s="1168"/>
      <c r="S160" s="1168"/>
      <c r="T160" s="1168"/>
      <c r="U160" s="1168"/>
      <c r="V160" s="1644"/>
      <c r="W160" s="1168"/>
      <c r="X160" s="1168"/>
      <c r="Y160" s="552"/>
      <c r="Z160" s="1168"/>
      <c r="AA160" s="1168"/>
      <c r="AB160" s="1168"/>
      <c r="AC160" s="1168"/>
      <c r="AD160" s="1168"/>
      <c r="AE160" s="1640"/>
      <c r="AF160" s="574"/>
      <c r="AG160" s="574"/>
      <c r="AH160" s="574"/>
      <c r="AI160" s="574"/>
      <c r="AJ160" s="1649">
        <v>11</v>
      </c>
    </row>
    <row s="1649" customFormat="1" customHeight="1" ht="11.549999999999999">
      <c r="A161" s="995"/>
      <c r="B161" s="1644"/>
      <c r="C161" s="1644"/>
      <c r="D161" s="359"/>
      <c r="J161" s="1649"/>
      <c r="K161" s="1649"/>
      <c r="L161" s="1649"/>
      <c r="M161" s="1649"/>
      <c r="O161" s="1168"/>
      <c r="P161" s="1644"/>
      <c r="Q161" s="1644"/>
      <c r="R161" s="1168"/>
      <c r="S161" s="1168"/>
      <c r="T161" s="1168"/>
      <c r="U161" s="1168"/>
      <c r="V161" s="1644"/>
      <c r="W161" s="1168"/>
      <c r="X161" s="1168"/>
      <c r="Y161" s="552"/>
      <c r="Z161" s="1168"/>
      <c r="AA161" s="1168"/>
      <c r="AB161" s="1168"/>
      <c r="AC161" s="1168"/>
      <c r="AD161" s="1168"/>
      <c r="AE161" s="1640"/>
      <c r="AF161" s="574"/>
      <c r="AG161" s="574"/>
      <c r="AH161" s="574"/>
      <c r="AI161" s="574"/>
      <c r="AJ161" s="1649">
        <v>11</v>
      </c>
    </row>
    <row s="1649" customFormat="1" customHeight="1" ht="11.549999999999999">
      <c r="A162" s="995"/>
      <c r="B162" s="1644"/>
      <c r="C162" s="1644"/>
      <c r="D162" s="359"/>
      <c r="J162" s="1649"/>
      <c r="K162" s="1649"/>
      <c r="L162" s="1649"/>
      <c r="M162" s="1649"/>
      <c r="O162" s="1168"/>
      <c r="P162" s="1644"/>
      <c r="Q162" s="1644"/>
      <c r="R162" s="1168"/>
      <c r="S162" s="1168"/>
      <c r="T162" s="1168"/>
      <c r="U162" s="1168"/>
      <c r="V162" s="1644"/>
      <c r="W162" s="1168"/>
      <c r="X162" s="1168"/>
      <c r="Y162" s="552"/>
      <c r="Z162" s="1168"/>
      <c r="AA162" s="1168"/>
      <c r="AB162" s="1168"/>
      <c r="AC162" s="1168"/>
      <c r="AD162" s="1168"/>
      <c r="AE162" s="1640"/>
      <c r="AF162" s="574"/>
      <c r="AG162" s="574"/>
      <c r="AH162" s="574"/>
      <c r="AI162" s="574"/>
      <c r="AJ162" s="1649">
        <v>11</v>
      </c>
    </row>
    <row s="1649" customFormat="1" customHeight="1" ht="11.549999999999999">
      <c r="A163" s="995"/>
      <c r="B163" s="1644"/>
      <c r="C163" s="1644"/>
      <c r="D163" s="359"/>
      <c r="J163" s="1649"/>
      <c r="K163" s="1649"/>
      <c r="L163" s="1649"/>
      <c r="M163" s="1649"/>
      <c r="O163" s="1168"/>
      <c r="P163" s="1644"/>
      <c r="Q163" s="1644"/>
      <c r="R163" s="1168"/>
      <c r="S163" s="1168"/>
      <c r="T163" s="1168"/>
      <c r="U163" s="1168"/>
      <c r="V163" s="1644"/>
      <c r="W163" s="1168"/>
      <c r="X163" s="1168"/>
      <c r="Y163" s="552"/>
      <c r="Z163" s="1168"/>
      <c r="AA163" s="1168"/>
      <c r="AB163" s="1168"/>
      <c r="AC163" s="1168"/>
      <c r="AD163" s="1168"/>
      <c r="AE163" s="1640"/>
      <c r="AF163" s="574"/>
      <c r="AG163" s="574"/>
      <c r="AH163" s="574"/>
      <c r="AI163" s="574"/>
      <c r="AJ163" s="1649">
        <v>11</v>
      </c>
    </row>
    <row s="1649" customFormat="1" customHeight="1" ht="11.549999999999999">
      <c r="A164" s="995"/>
      <c r="B164" s="1644"/>
      <c r="C164" s="1644"/>
      <c r="D164" s="359"/>
      <c r="J164" s="1649"/>
      <c r="K164" s="1649"/>
      <c r="L164" s="1649"/>
      <c r="M164" s="1649"/>
      <c r="O164" s="1168"/>
      <c r="P164" s="1644"/>
      <c r="Q164" s="1644"/>
      <c r="R164" s="1168"/>
      <c r="S164" s="1168"/>
      <c r="T164" s="1168"/>
      <c r="U164" s="1168"/>
      <c r="V164" s="1644"/>
      <c r="W164" s="1168"/>
      <c r="X164" s="1168"/>
      <c r="Y164" s="552"/>
      <c r="Z164" s="1168"/>
      <c r="AA164" s="1168"/>
      <c r="AB164" s="1168"/>
      <c r="AC164" s="1168"/>
      <c r="AD164" s="1168"/>
      <c r="AE164" s="1640"/>
      <c r="AF164" s="574"/>
      <c r="AG164" s="574"/>
      <c r="AH164" s="574"/>
      <c r="AI164" s="574"/>
      <c r="AJ164" s="1649">
        <v>11</v>
      </c>
    </row>
    <row s="1649" customFormat="1" customHeight="1" ht="11.549999999999999">
      <c r="A165" s="995"/>
      <c r="B165" s="1644"/>
      <c r="C165" s="1644"/>
      <c r="D165" s="359"/>
      <c r="J165" s="1649"/>
      <c r="K165" s="1649"/>
      <c r="L165" s="1649"/>
      <c r="M165" s="1649"/>
      <c r="O165" s="1168"/>
      <c r="P165" s="1644"/>
      <c r="Q165" s="1644"/>
      <c r="R165" s="1168"/>
      <c r="S165" s="1168"/>
      <c r="T165" s="1168"/>
      <c r="U165" s="1168"/>
      <c r="V165" s="1644"/>
      <c r="W165" s="1168"/>
      <c r="X165" s="1168"/>
      <c r="Y165" s="552"/>
      <c r="Z165" s="1168"/>
      <c r="AA165" s="1168"/>
      <c r="AB165" s="1168"/>
      <c r="AC165" s="1168"/>
      <c r="AD165" s="1168"/>
      <c r="AE165" s="1640"/>
      <c r="AF165" s="574"/>
      <c r="AG165" s="574"/>
      <c r="AH165" s="574"/>
      <c r="AI165" s="574"/>
      <c r="AJ165" s="1649">
        <v>11</v>
      </c>
    </row>
    <row s="1649" customFormat="1" customHeight="1" ht="11.549999999999999">
      <c r="A166" s="995"/>
      <c r="B166" s="1644"/>
      <c r="C166" s="1644"/>
      <c r="D166" s="359"/>
      <c r="J166" s="1649"/>
      <c r="K166" s="1649"/>
      <c r="L166" s="1649"/>
      <c r="M166" s="1649"/>
      <c r="O166" s="1168"/>
      <c r="P166" s="1644"/>
      <c r="Q166" s="1644"/>
      <c r="R166" s="1168"/>
      <c r="S166" s="1168"/>
      <c r="T166" s="1168"/>
      <c r="U166" s="1168"/>
      <c r="V166" s="1644"/>
      <c r="W166" s="1168"/>
      <c r="X166" s="1168"/>
      <c r="Y166" s="552"/>
      <c r="Z166" s="1168"/>
      <c r="AA166" s="1168"/>
      <c r="AB166" s="1168"/>
      <c r="AC166" s="1168"/>
      <c r="AD166" s="1168"/>
      <c r="AE166" s="1640"/>
      <c r="AF166" s="574"/>
      <c r="AG166" s="574"/>
      <c r="AH166" s="574"/>
      <c r="AI166" s="574"/>
      <c r="AJ166" s="1649">
        <v>11</v>
      </c>
    </row>
    <row s="1649" customFormat="1" customHeight="1" ht="11.549999999999999">
      <c r="A167" s="995"/>
      <c r="B167" s="1644"/>
      <c r="C167" s="1644"/>
      <c r="D167" s="359"/>
      <c r="J167" s="1649"/>
      <c r="K167" s="1649"/>
      <c r="L167" s="1649"/>
      <c r="M167" s="1649"/>
      <c r="O167" s="1168"/>
      <c r="P167" s="1644"/>
      <c r="Q167" s="1644"/>
      <c r="R167" s="1168"/>
      <c r="S167" s="1168"/>
      <c r="T167" s="1168"/>
      <c r="U167" s="1168"/>
      <c r="V167" s="1644"/>
      <c r="W167" s="1168"/>
      <c r="X167" s="1168"/>
      <c r="Y167" s="552"/>
      <c r="Z167" s="1168"/>
      <c r="AA167" s="1168"/>
      <c r="AB167" s="1168"/>
      <c r="AC167" s="1168"/>
      <c r="AD167" s="1168"/>
      <c r="AE167" s="1640"/>
      <c r="AF167" s="574"/>
      <c r="AG167" s="574"/>
      <c r="AH167" s="574"/>
      <c r="AI167" s="574"/>
      <c r="AJ167" s="1649">
        <v>11</v>
      </c>
    </row>
    <row s="1649" customFormat="1" customHeight="1" ht="11.549999999999999">
      <c r="A168" s="995"/>
      <c r="B168" s="1644"/>
      <c r="C168" s="1644"/>
      <c r="D168" s="359"/>
      <c r="J168" s="1649"/>
      <c r="K168" s="1649"/>
      <c r="L168" s="1649"/>
      <c r="M168" s="1649"/>
      <c r="O168" s="1168"/>
      <c r="P168" s="1644"/>
      <c r="Q168" s="1644"/>
      <c r="R168" s="1168"/>
      <c r="S168" s="1168"/>
      <c r="T168" s="1168"/>
      <c r="U168" s="1168"/>
      <c r="V168" s="1644"/>
      <c r="W168" s="1168"/>
      <c r="X168" s="1168"/>
      <c r="Y168" s="552"/>
      <c r="Z168" s="1168"/>
      <c r="AA168" s="1168"/>
      <c r="AB168" s="1168"/>
      <c r="AC168" s="1168"/>
      <c r="AD168" s="1168"/>
      <c r="AE168" s="1640"/>
      <c r="AF168" s="574"/>
      <c r="AG168" s="574"/>
      <c r="AH168" s="574"/>
      <c r="AI168" s="574"/>
      <c r="AJ168" s="1649">
        <v>11</v>
      </c>
    </row>
    <row s="1649" customFormat="1" customHeight="1" ht="11.549999999999999">
      <c r="A169" s="995"/>
      <c r="B169" s="1644"/>
      <c r="C169" s="1644"/>
      <c r="D169" s="359"/>
      <c r="J169" s="1649"/>
      <c r="K169" s="1649"/>
      <c r="L169" s="1649"/>
      <c r="M169" s="1649"/>
      <c r="O169" s="1168"/>
      <c r="P169" s="1644"/>
      <c r="Q169" s="1644"/>
      <c r="R169" s="1168"/>
      <c r="S169" s="1168"/>
      <c r="T169" s="1168"/>
      <c r="U169" s="1168"/>
      <c r="V169" s="1644"/>
      <c r="W169" s="1168"/>
      <c r="X169" s="1168"/>
      <c r="Y169" s="552"/>
      <c r="Z169" s="1168"/>
      <c r="AA169" s="1168"/>
      <c r="AB169" s="1168"/>
      <c r="AC169" s="1168"/>
      <c r="AD169" s="1168"/>
      <c r="AE169" s="1640"/>
      <c r="AF169" s="574"/>
      <c r="AG169" s="574"/>
      <c r="AH169" s="574"/>
      <c r="AI169" s="574"/>
      <c r="AJ169" s="1649">
        <v>11</v>
      </c>
    </row>
    <row s="1649" customFormat="1" customHeight="1" ht="11.549999999999999">
      <c r="A170" s="995"/>
      <c r="B170" s="1644"/>
      <c r="C170" s="1644"/>
      <c r="D170" s="359"/>
      <c r="J170" s="1649"/>
      <c r="K170" s="1649"/>
      <c r="L170" s="1649"/>
      <c r="M170" s="1649"/>
      <c r="O170" s="1168"/>
      <c r="P170" s="1644"/>
      <c r="Q170" s="1644"/>
      <c r="R170" s="1168"/>
      <c r="S170" s="1168"/>
      <c r="T170" s="1168"/>
      <c r="U170" s="1168"/>
      <c r="V170" s="1644"/>
      <c r="W170" s="1168"/>
      <c r="X170" s="1168"/>
      <c r="Y170" s="552"/>
      <c r="Z170" s="1168"/>
      <c r="AA170" s="1168"/>
      <c r="AB170" s="1168"/>
      <c r="AC170" s="1168"/>
      <c r="AD170" s="1168"/>
      <c r="AE170" s="1640"/>
      <c r="AF170" s="574"/>
      <c r="AG170" s="574"/>
      <c r="AH170" s="574"/>
      <c r="AI170" s="574"/>
      <c r="AJ170" s="1649">
        <v>11</v>
      </c>
    </row>
    <row s="1649" customFormat="1" customHeight="1" ht="11.549999999999999">
      <c r="A171" s="995"/>
      <c r="B171" s="1644"/>
      <c r="C171" s="1644"/>
      <c r="D171" s="359"/>
      <c r="J171" s="1649"/>
      <c r="K171" s="1649"/>
      <c r="L171" s="1649"/>
      <c r="M171" s="1649"/>
      <c r="O171" s="1168"/>
      <c r="P171" s="1644"/>
      <c r="Q171" s="1644"/>
      <c r="R171" s="1168"/>
      <c r="S171" s="1168"/>
      <c r="T171" s="1168"/>
      <c r="U171" s="1168"/>
      <c r="V171" s="1644"/>
      <c r="W171" s="1168"/>
      <c r="X171" s="1168"/>
      <c r="Y171" s="552"/>
      <c r="Z171" s="1168"/>
      <c r="AA171" s="1168"/>
      <c r="AB171" s="1168"/>
      <c r="AC171" s="1168"/>
      <c r="AD171" s="1168"/>
      <c r="AE171" s="1640"/>
      <c r="AF171" s="574"/>
      <c r="AG171" s="574"/>
      <c r="AH171" s="574"/>
      <c r="AI171" s="574"/>
      <c r="AJ171" s="1649">
        <v>11</v>
      </c>
    </row>
    <row s="1649" customFormat="1" customHeight="1" ht="11.549999999999999">
      <c r="A172" s="995"/>
      <c r="B172" s="1644"/>
      <c r="C172" s="1644"/>
      <c r="D172" s="359"/>
      <c r="J172" s="1649"/>
      <c r="K172" s="1649"/>
      <c r="L172" s="1649"/>
      <c r="M172" s="1649"/>
      <c r="O172" s="1168"/>
      <c r="P172" s="1644"/>
      <c r="Q172" s="1644"/>
      <c r="R172" s="1168"/>
      <c r="S172" s="1168"/>
      <c r="T172" s="1168"/>
      <c r="U172" s="1168"/>
      <c r="V172" s="1644"/>
      <c r="W172" s="1168"/>
      <c r="X172" s="1168"/>
      <c r="Y172" s="552"/>
      <c r="Z172" s="1168"/>
      <c r="AA172" s="1168"/>
      <c r="AB172" s="1168"/>
      <c r="AC172" s="1168"/>
      <c r="AD172" s="1168"/>
      <c r="AE172" s="1640"/>
      <c r="AF172" s="574"/>
      <c r="AG172" s="574"/>
      <c r="AH172" s="574"/>
      <c r="AI172" s="574"/>
      <c r="AJ172" s="1649">
        <v>11</v>
      </c>
    </row>
    <row s="1649" customFormat="1" customHeight="1" ht="11.549999999999999">
      <c r="A173" s="995"/>
      <c r="B173" s="1644"/>
      <c r="C173" s="1644"/>
      <c r="D173" s="359"/>
      <c r="J173" s="1649"/>
      <c r="K173" s="1649"/>
      <c r="L173" s="1649"/>
      <c r="M173" s="1649"/>
      <c r="O173" s="1168"/>
      <c r="P173" s="1644"/>
      <c r="Q173" s="1644"/>
      <c r="R173" s="1168"/>
      <c r="S173" s="1168"/>
      <c r="T173" s="1168"/>
      <c r="U173" s="1168"/>
      <c r="V173" s="1644"/>
      <c r="W173" s="1168"/>
      <c r="X173" s="1168"/>
      <c r="Y173" s="552"/>
      <c r="Z173" s="1168"/>
      <c r="AA173" s="1168"/>
      <c r="AB173" s="1168"/>
      <c r="AC173" s="1168"/>
      <c r="AD173" s="1168"/>
      <c r="AE173" s="1640"/>
      <c r="AF173" s="574"/>
      <c r="AG173" s="574"/>
      <c r="AH173" s="574"/>
      <c r="AI173" s="574"/>
      <c r="AJ173" s="1649">
        <v>11</v>
      </c>
    </row>
    <row s="1649" customFormat="1" customHeight="1" ht="11.549999999999999">
      <c r="A174" s="995"/>
      <c r="B174" s="1644"/>
      <c r="C174" s="1644"/>
      <c r="D174" s="359"/>
      <c r="J174" s="1649"/>
      <c r="K174" s="1649"/>
      <c r="L174" s="1649"/>
      <c r="M174" s="1649"/>
      <c r="O174" s="1168"/>
      <c r="P174" s="1644"/>
      <c r="Q174" s="1644"/>
      <c r="R174" s="1168"/>
      <c r="S174" s="1168"/>
      <c r="T174" s="1168"/>
      <c r="U174" s="1168"/>
      <c r="V174" s="1644"/>
      <c r="W174" s="1168"/>
      <c r="X174" s="1168"/>
      <c r="Y174" s="552"/>
      <c r="Z174" s="1168"/>
      <c r="AA174" s="1168"/>
      <c r="AB174" s="1168"/>
      <c r="AC174" s="1168"/>
      <c r="AD174" s="1168"/>
      <c r="AE174" s="1640"/>
      <c r="AF174" s="574"/>
      <c r="AG174" s="574"/>
      <c r="AH174" s="574"/>
      <c r="AI174" s="574"/>
      <c r="AJ174" s="1649">
        <v>11</v>
      </c>
    </row>
    <row s="1649" customFormat="1" customHeight="1" ht="11.549999999999999">
      <c r="A175" s="995"/>
      <c r="B175" s="1644"/>
      <c r="C175" s="1644"/>
      <c r="D175" s="359"/>
      <c r="J175" s="1649"/>
      <c r="K175" s="1649"/>
      <c r="L175" s="1649"/>
      <c r="M175" s="1649"/>
      <c r="O175" s="1168"/>
      <c r="P175" s="1644"/>
      <c r="Q175" s="1644"/>
      <c r="R175" s="1168"/>
      <c r="S175" s="1168"/>
      <c r="T175" s="1168"/>
      <c r="U175" s="1168"/>
      <c r="V175" s="1644"/>
      <c r="W175" s="1168"/>
      <c r="X175" s="1168"/>
      <c r="Y175" s="552"/>
      <c r="Z175" s="1168"/>
      <c r="AA175" s="1168"/>
      <c r="AB175" s="1168"/>
      <c r="AC175" s="1168"/>
      <c r="AD175" s="1168"/>
      <c r="AE175" s="1640"/>
      <c r="AF175" s="574"/>
      <c r="AG175" s="574"/>
      <c r="AH175" s="574"/>
      <c r="AI175" s="574"/>
      <c r="AJ175" s="1649">
        <v>11</v>
      </c>
    </row>
    <row s="1649" customFormat="1" customHeight="1" ht="11.549999999999999">
      <c r="A176" s="995"/>
      <c r="B176" s="1644"/>
      <c r="C176" s="1644"/>
      <c r="D176" s="359"/>
      <c r="J176" s="1649"/>
      <c r="K176" s="1649"/>
      <c r="L176" s="1649"/>
      <c r="M176" s="1649"/>
      <c r="O176" s="1168"/>
      <c r="P176" s="1644"/>
      <c r="Q176" s="1644"/>
      <c r="R176" s="1168"/>
      <c r="S176" s="1168"/>
      <c r="T176" s="1168"/>
      <c r="U176" s="1168"/>
      <c r="V176" s="1644"/>
      <c r="W176" s="1168"/>
      <c r="X176" s="1168"/>
      <c r="Y176" s="552"/>
      <c r="Z176" s="1168"/>
      <c r="AA176" s="1168"/>
      <c r="AB176" s="1168"/>
      <c r="AC176" s="1168"/>
      <c r="AD176" s="1168"/>
      <c r="AE176" s="1640"/>
      <c r="AF176" s="574"/>
      <c r="AG176" s="574"/>
      <c r="AH176" s="574"/>
      <c r="AI176" s="574"/>
      <c r="AJ176" s="1649">
        <v>11</v>
      </c>
    </row>
    <row s="1649" customFormat="1" customHeight="1" ht="11.549999999999999">
      <c r="A177" s="995"/>
      <c r="B177" s="1644"/>
      <c r="C177" s="1644"/>
      <c r="D177" s="359"/>
      <c r="J177" s="1649"/>
      <c r="K177" s="1649"/>
      <c r="L177" s="1649"/>
      <c r="M177" s="1649"/>
      <c r="O177" s="1168"/>
      <c r="P177" s="1644"/>
      <c r="Q177" s="1644"/>
      <c r="R177" s="1168"/>
      <c r="S177" s="1168"/>
      <c r="T177" s="1168"/>
      <c r="U177" s="1168"/>
      <c r="V177" s="1644"/>
      <c r="W177" s="1168"/>
      <c r="X177" s="1168"/>
      <c r="Y177" s="552"/>
      <c r="Z177" s="1168"/>
      <c r="AA177" s="1168"/>
      <c r="AB177" s="1168"/>
      <c r="AC177" s="1168"/>
      <c r="AD177" s="1168"/>
      <c r="AE177" s="1640"/>
      <c r="AF177" s="574"/>
      <c r="AG177" s="574"/>
      <c r="AH177" s="574"/>
      <c r="AI177" s="574"/>
      <c r="AJ177" s="1649">
        <v>11</v>
      </c>
    </row>
    <row s="1649" customFormat="1" customHeight="1" ht="11.549999999999999">
      <c r="A178" s="995"/>
      <c r="B178" s="1644"/>
      <c r="C178" s="1644"/>
      <c r="D178" s="359"/>
      <c r="J178" s="1649"/>
      <c r="K178" s="1649"/>
      <c r="L178" s="1649"/>
      <c r="M178" s="1649"/>
      <c r="O178" s="1168"/>
      <c r="P178" s="1644"/>
      <c r="Q178" s="1644"/>
      <c r="R178" s="1168"/>
      <c r="S178" s="1168"/>
      <c r="T178" s="1168"/>
      <c r="U178" s="1168"/>
      <c r="V178" s="1644"/>
      <c r="W178" s="1168"/>
      <c r="X178" s="1168"/>
      <c r="Y178" s="552"/>
      <c r="Z178" s="1168"/>
      <c r="AA178" s="1168"/>
      <c r="AB178" s="1168"/>
      <c r="AC178" s="1168"/>
      <c r="AD178" s="1168"/>
      <c r="AE178" s="1640"/>
      <c r="AF178" s="574"/>
      <c r="AG178" s="574"/>
      <c r="AH178" s="574"/>
      <c r="AI178" s="574"/>
      <c r="AJ178" s="1649">
        <v>11</v>
      </c>
    </row>
    <row s="1649" customFormat="1" customHeight="1" ht="11.549999999999999">
      <c r="A179" s="995"/>
      <c r="B179" s="1644"/>
      <c r="C179" s="1644"/>
      <c r="D179" s="359"/>
      <c r="J179" s="1649"/>
      <c r="K179" s="1649"/>
      <c r="L179" s="1649"/>
      <c r="M179" s="1649"/>
      <c r="O179" s="1168"/>
      <c r="P179" s="1644"/>
      <c r="Q179" s="1644"/>
      <c r="R179" s="1168"/>
      <c r="S179" s="1168"/>
      <c r="T179" s="1168"/>
      <c r="U179" s="1168"/>
      <c r="V179" s="1644"/>
      <c r="W179" s="1168"/>
      <c r="X179" s="1168"/>
      <c r="Y179" s="552"/>
      <c r="Z179" s="1168"/>
      <c r="AA179" s="1168"/>
      <c r="AB179" s="1168"/>
      <c r="AC179" s="1168"/>
      <c r="AD179" s="1168"/>
      <c r="AE179" s="1640"/>
      <c r="AF179" s="574"/>
      <c r="AG179" s="574"/>
      <c r="AH179" s="574"/>
      <c r="AI179" s="574"/>
      <c r="AJ179" s="1649">
        <v>11</v>
      </c>
    </row>
    <row s="1649" customFormat="1" customHeight="1" ht="11.549999999999999">
      <c r="A180" s="995"/>
      <c r="B180" s="1644"/>
      <c r="C180" s="1644"/>
      <c r="D180" s="359"/>
      <c r="J180" s="1649"/>
      <c r="K180" s="1649"/>
      <c r="L180" s="1649"/>
      <c r="M180" s="1649"/>
      <c r="O180" s="1168"/>
      <c r="P180" s="1644"/>
      <c r="Q180" s="1644"/>
      <c r="R180" s="1168"/>
      <c r="S180" s="1168"/>
      <c r="T180" s="1168"/>
      <c r="U180" s="1168"/>
      <c r="V180" s="1644"/>
      <c r="W180" s="1168"/>
      <c r="X180" s="1168"/>
      <c r="Y180" s="552"/>
      <c r="Z180" s="1168"/>
      <c r="AA180" s="1168"/>
      <c r="AB180" s="1168"/>
      <c r="AC180" s="1168"/>
      <c r="AD180" s="1168"/>
      <c r="AE180" s="1640"/>
      <c r="AF180" s="574"/>
      <c r="AG180" s="574"/>
      <c r="AH180" s="574"/>
      <c r="AI180" s="574"/>
      <c r="AJ180" s="1649">
        <v>11</v>
      </c>
    </row>
    <row s="1649" customFormat="1" customHeight="1" ht="11.549999999999999">
      <c r="A181" s="995"/>
      <c r="B181" s="1644"/>
      <c r="C181" s="1644"/>
      <c r="D181" s="359"/>
      <c r="J181" s="1649"/>
      <c r="K181" s="1649"/>
      <c r="L181" s="1649"/>
      <c r="M181" s="1649"/>
      <c r="O181" s="1168"/>
      <c r="P181" s="1644"/>
      <c r="Q181" s="1644"/>
      <c r="R181" s="1168"/>
      <c r="S181" s="1168"/>
      <c r="T181" s="1168"/>
      <c r="U181" s="1168"/>
      <c r="V181" s="1644"/>
      <c r="W181" s="1168"/>
      <c r="X181" s="1168"/>
      <c r="Y181" s="552"/>
      <c r="Z181" s="1168"/>
      <c r="AA181" s="1168"/>
      <c r="AB181" s="1168"/>
      <c r="AC181" s="1168"/>
      <c r="AD181" s="1168"/>
      <c r="AE181" s="1640"/>
      <c r="AF181" s="574"/>
      <c r="AG181" s="574"/>
      <c r="AH181" s="574"/>
      <c r="AI181" s="574"/>
      <c r="AJ181" s="1649">
        <v>11</v>
      </c>
    </row>
    <row s="1649" customFormat="1" customHeight="1" ht="11.549999999999999">
      <c r="A182" s="995"/>
      <c r="B182" s="1644"/>
      <c r="C182" s="1644"/>
      <c r="D182" s="359"/>
      <c r="J182" s="1649"/>
      <c r="K182" s="1649"/>
      <c r="L182" s="1649"/>
      <c r="M182" s="1649"/>
      <c r="O182" s="1168"/>
      <c r="P182" s="1644"/>
      <c r="Q182" s="1644"/>
      <c r="R182" s="1168"/>
      <c r="S182" s="1168"/>
      <c r="T182" s="1168"/>
      <c r="U182" s="1168"/>
      <c r="V182" s="1644"/>
      <c r="W182" s="1168"/>
      <c r="X182" s="1168"/>
      <c r="Y182" s="552"/>
      <c r="Z182" s="1168"/>
      <c r="AA182" s="1168"/>
      <c r="AB182" s="1168"/>
      <c r="AC182" s="1168"/>
      <c r="AD182" s="1168"/>
      <c r="AE182" s="1640"/>
      <c r="AF182" s="574"/>
      <c r="AG182" s="574"/>
      <c r="AH182" s="574"/>
      <c r="AI182" s="574"/>
      <c r="AJ182" s="1649">
        <v>11</v>
      </c>
    </row>
    <row s="1649" customFormat="1" customHeight="1" ht="11.549999999999999">
      <c r="A183" s="995"/>
      <c r="B183" s="1644"/>
      <c r="C183" s="1644"/>
      <c r="D183" s="359"/>
      <c r="J183" s="1649"/>
      <c r="K183" s="1649"/>
      <c r="L183" s="1649"/>
      <c r="M183" s="1649"/>
      <c r="O183" s="1168"/>
      <c r="P183" s="1644"/>
      <c r="Q183" s="1644"/>
      <c r="R183" s="1168"/>
      <c r="S183" s="1168"/>
      <c r="T183" s="1168"/>
      <c r="U183" s="1168"/>
      <c r="V183" s="1644"/>
      <c r="W183" s="1168"/>
      <c r="X183" s="1168"/>
      <c r="Y183" s="552"/>
      <c r="Z183" s="1168"/>
      <c r="AA183" s="1168"/>
      <c r="AB183" s="1168"/>
      <c r="AC183" s="1168"/>
      <c r="AD183" s="1168"/>
      <c r="AE183" s="1640"/>
      <c r="AF183" s="574"/>
      <c r="AG183" s="574"/>
      <c r="AH183" s="574"/>
      <c r="AI183" s="574"/>
      <c r="AJ183" s="1649">
        <v>11</v>
      </c>
    </row>
    <row s="1649" customFormat="1" customHeight="1" ht="11.549999999999999">
      <c r="A184" s="995"/>
      <c r="B184" s="1644"/>
      <c r="C184" s="1644"/>
      <c r="D184" s="359"/>
      <c r="J184" s="1649"/>
      <c r="K184" s="1649"/>
      <c r="L184" s="1649"/>
      <c r="M184" s="1649"/>
      <c r="O184" s="1168"/>
      <c r="P184" s="1644"/>
      <c r="Q184" s="1644"/>
      <c r="R184" s="1168"/>
      <c r="S184" s="1168"/>
      <c r="T184" s="1168"/>
      <c r="U184" s="1168"/>
      <c r="V184" s="1644"/>
      <c r="W184" s="1168"/>
      <c r="X184" s="1168"/>
      <c r="Y184" s="552"/>
      <c r="Z184" s="1168"/>
      <c r="AA184" s="1168"/>
      <c r="AB184" s="1168"/>
      <c r="AC184" s="1168"/>
      <c r="AD184" s="1168"/>
      <c r="AE184" s="1640"/>
      <c r="AF184" s="574"/>
      <c r="AG184" s="574"/>
      <c r="AH184" s="574"/>
      <c r="AI184" s="574"/>
      <c r="AJ184" s="1649">
        <v>11</v>
      </c>
    </row>
    <row s="1649" customFormat="1" customHeight="1" ht="11.549999999999999">
      <c r="A185" s="995"/>
      <c r="B185" s="1644"/>
      <c r="C185" s="1644"/>
      <c r="D185" s="359"/>
      <c r="J185" s="1649"/>
      <c r="K185" s="1649"/>
      <c r="L185" s="1649"/>
      <c r="M185" s="1649"/>
      <c r="O185" s="1168"/>
      <c r="P185" s="1644"/>
      <c r="Q185" s="1644"/>
      <c r="R185" s="1168"/>
      <c r="S185" s="1168"/>
      <c r="T185" s="1168"/>
      <c r="U185" s="1168"/>
      <c r="V185" s="1644"/>
      <c r="W185" s="1168"/>
      <c r="X185" s="1168"/>
      <c r="Y185" s="552"/>
      <c r="Z185" s="1168"/>
      <c r="AA185" s="1168"/>
      <c r="AB185" s="1168"/>
      <c r="AC185" s="1168"/>
      <c r="AD185" s="1168"/>
      <c r="AE185" s="1640"/>
      <c r="AF185" s="574"/>
      <c r="AG185" s="574"/>
      <c r="AH185" s="574"/>
      <c r="AI185" s="574"/>
      <c r="AJ185" s="1649">
        <v>11</v>
      </c>
    </row>
    <row s="1649" customFormat="1" customHeight="1" ht="11.549999999999999">
      <c r="A186" s="995"/>
      <c r="B186" s="1644"/>
      <c r="C186" s="1644"/>
      <c r="D186" s="359"/>
      <c r="J186" s="1649"/>
      <c r="K186" s="1649"/>
      <c r="L186" s="1649"/>
      <c r="M186" s="1649"/>
      <c r="O186" s="1168"/>
      <c r="P186" s="1644"/>
      <c r="Q186" s="1644"/>
      <c r="R186" s="1168"/>
      <c r="S186" s="1168"/>
      <c r="T186" s="1168"/>
      <c r="U186" s="1168"/>
      <c r="V186" s="1644"/>
      <c r="W186" s="1168"/>
      <c r="X186" s="1168"/>
      <c r="Y186" s="552"/>
      <c r="Z186" s="1168"/>
      <c r="AA186" s="1168"/>
      <c r="AB186" s="1168"/>
      <c r="AC186" s="1168"/>
      <c r="AD186" s="1168"/>
      <c r="AE186" s="1640"/>
      <c r="AF186" s="574"/>
      <c r="AG186" s="574"/>
      <c r="AH186" s="574"/>
      <c r="AI186" s="574"/>
      <c r="AJ186" s="1649">
        <v>11</v>
      </c>
    </row>
    <row s="1649" customFormat="1" customHeight="1" ht="11.549999999999999">
      <c r="A187" s="995"/>
      <c r="B187" s="1644"/>
      <c r="C187" s="1644"/>
      <c r="D187" s="359"/>
      <c r="J187" s="1649"/>
      <c r="K187" s="1649"/>
      <c r="L187" s="1649"/>
      <c r="M187" s="1649"/>
      <c r="O187" s="1168"/>
      <c r="P187" s="1644"/>
      <c r="Q187" s="1644"/>
      <c r="R187" s="1168"/>
      <c r="S187" s="1168"/>
      <c r="T187" s="1168"/>
      <c r="U187" s="1168"/>
      <c r="V187" s="1644"/>
      <c r="W187" s="1168"/>
      <c r="X187" s="1168"/>
      <c r="Y187" s="552"/>
      <c r="Z187" s="1168"/>
      <c r="AA187" s="1168"/>
      <c r="AB187" s="1168"/>
      <c r="AC187" s="1168"/>
      <c r="AD187" s="1168"/>
      <c r="AE187" s="1640"/>
      <c r="AF187" s="574"/>
      <c r="AG187" s="574"/>
      <c r="AH187" s="574"/>
      <c r="AI187" s="574"/>
      <c r="AJ187" s="1649">
        <v>11</v>
      </c>
    </row>
    <row s="1649" customFormat="1" customHeight="1" ht="11.549999999999999">
      <c r="A188" s="995"/>
      <c r="B188" s="1644"/>
      <c r="C188" s="1644"/>
      <c r="D188" s="359"/>
      <c r="J188" s="1649"/>
      <c r="K188" s="1649"/>
      <c r="L188" s="1649"/>
      <c r="M188" s="1649"/>
      <c r="O188" s="1168"/>
      <c r="P188" s="1644"/>
      <c r="Q188" s="1644"/>
      <c r="R188" s="1168"/>
      <c r="S188" s="1168"/>
      <c r="T188" s="1168"/>
      <c r="U188" s="1168"/>
      <c r="V188" s="1644"/>
      <c r="W188" s="1168"/>
      <c r="X188" s="1168"/>
      <c r="Y188" s="552"/>
      <c r="Z188" s="1168"/>
      <c r="AA188" s="1168"/>
      <c r="AB188" s="1168"/>
      <c r="AC188" s="1168"/>
      <c r="AD188" s="1168"/>
      <c r="AE188" s="1640"/>
      <c r="AF188" s="574"/>
      <c r="AG188" s="574"/>
      <c r="AH188" s="574"/>
      <c r="AI188" s="574"/>
      <c r="AJ188" s="1649">
        <v>11</v>
      </c>
    </row>
    <row s="1649" customFormat="1" customHeight="1" ht="11.549999999999999">
      <c r="A189" s="995"/>
      <c r="B189" s="1644"/>
      <c r="C189" s="1644"/>
      <c r="D189" s="359"/>
      <c r="J189" s="1649"/>
      <c r="K189" s="1649"/>
      <c r="L189" s="1649"/>
      <c r="M189" s="1649"/>
      <c r="O189" s="1168"/>
      <c r="P189" s="1644"/>
      <c r="Q189" s="1644"/>
      <c r="R189" s="1168"/>
      <c r="S189" s="1168"/>
      <c r="T189" s="1168"/>
      <c r="U189" s="1168"/>
      <c r="V189" s="1644"/>
      <c r="W189" s="1168"/>
      <c r="X189" s="1168"/>
      <c r="Y189" s="552"/>
      <c r="Z189" s="1168"/>
      <c r="AA189" s="1168"/>
      <c r="AB189" s="1168"/>
      <c r="AC189" s="1168"/>
      <c r="AD189" s="1168"/>
      <c r="AE189" s="1640"/>
      <c r="AF189" s="574"/>
      <c r="AG189" s="574"/>
      <c r="AH189" s="574"/>
      <c r="AI189" s="574"/>
      <c r="AJ189" s="1649">
        <v>11</v>
      </c>
    </row>
    <row s="1649" customFormat="1" customHeight="1" ht="11.549999999999999">
      <c r="A190" s="995"/>
      <c r="B190" s="1644"/>
      <c r="C190" s="1644"/>
      <c r="D190" s="359"/>
      <c r="J190" s="1649"/>
      <c r="K190" s="1649"/>
      <c r="L190" s="1649"/>
      <c r="M190" s="1649"/>
      <c r="O190" s="1168"/>
      <c r="P190" s="1644"/>
      <c r="Q190" s="1644"/>
      <c r="R190" s="1168"/>
      <c r="S190" s="1168"/>
      <c r="T190" s="1168"/>
      <c r="U190" s="1168"/>
      <c r="V190" s="1644"/>
      <c r="W190" s="1168"/>
      <c r="X190" s="1168"/>
      <c r="Y190" s="552"/>
      <c r="Z190" s="1168"/>
      <c r="AA190" s="1168"/>
      <c r="AB190" s="1168"/>
      <c r="AC190" s="1168"/>
      <c r="AD190" s="1168"/>
      <c r="AE190" s="1640"/>
      <c r="AF190" s="574"/>
      <c r="AG190" s="574"/>
      <c r="AH190" s="574"/>
      <c r="AI190" s="574"/>
      <c r="AJ190" s="1649">
        <v>11</v>
      </c>
    </row>
    <row s="1649" customFormat="1" customHeight="1" ht="11.549999999999999">
      <c r="A191" s="995"/>
      <c r="B191" s="1644"/>
      <c r="C191" s="1644"/>
      <c r="D191" s="359"/>
      <c r="J191" s="1649"/>
      <c r="K191" s="1649"/>
      <c r="L191" s="1649"/>
      <c r="M191" s="1649"/>
      <c r="O191" s="1168"/>
      <c r="P191" s="1644"/>
      <c r="Q191" s="1644"/>
      <c r="R191" s="1168"/>
      <c r="S191" s="1168"/>
      <c r="T191" s="1168"/>
      <c r="U191" s="1168"/>
      <c r="V191" s="1644"/>
      <c r="W191" s="1168"/>
      <c r="X191" s="1168"/>
      <c r="Y191" s="552"/>
      <c r="Z191" s="1168"/>
      <c r="AA191" s="1168"/>
      <c r="AB191" s="1168"/>
      <c r="AC191" s="1168"/>
      <c r="AD191" s="1168"/>
      <c r="AE191" s="1640"/>
      <c r="AF191" s="574"/>
      <c r="AG191" s="574"/>
      <c r="AH191" s="574"/>
      <c r="AI191" s="574"/>
      <c r="AJ191" s="1649">
        <v>11</v>
      </c>
    </row>
    <row s="1649" customFormat="1" customHeight="1" ht="11.549999999999999">
      <c r="A192" s="995"/>
      <c r="B192" s="1644"/>
      <c r="C192" s="1644"/>
      <c r="D192" s="359"/>
      <c r="J192" s="1649"/>
      <c r="K192" s="1649"/>
      <c r="L192" s="1649"/>
      <c r="M192" s="1649"/>
      <c r="O192" s="1168"/>
      <c r="P192" s="1644"/>
      <c r="Q192" s="1644"/>
      <c r="R192" s="1168"/>
      <c r="S192" s="1168"/>
      <c r="T192" s="1168"/>
      <c r="U192" s="1168"/>
      <c r="V192" s="1644"/>
      <c r="W192" s="1168"/>
      <c r="X192" s="1168"/>
      <c r="Y192" s="552"/>
      <c r="Z192" s="1168"/>
      <c r="AA192" s="1168"/>
      <c r="AB192" s="1168"/>
      <c r="AC192" s="1168"/>
      <c r="AD192" s="1168"/>
      <c r="AE192" s="1640"/>
      <c r="AF192" s="574"/>
      <c r="AG192" s="574"/>
      <c r="AH192" s="574"/>
      <c r="AI192" s="574"/>
      <c r="AJ192" s="1649">
        <v>11</v>
      </c>
    </row>
    <row s="1649" customFormat="1" customHeight="1" ht="11.549999999999999">
      <c r="A193" s="995"/>
      <c r="B193" s="1644"/>
      <c r="C193" s="1644"/>
      <c r="D193" s="359"/>
      <c r="J193" s="1649"/>
      <c r="K193" s="1649"/>
      <c r="L193" s="1649"/>
      <c r="M193" s="1649"/>
      <c r="O193" s="1168"/>
      <c r="P193" s="1644"/>
      <c r="Q193" s="1644"/>
      <c r="R193" s="1168"/>
      <c r="S193" s="1168"/>
      <c r="T193" s="1168"/>
      <c r="U193" s="1168"/>
      <c r="V193" s="1644"/>
      <c r="W193" s="1168"/>
      <c r="X193" s="1168"/>
      <c r="Y193" s="552"/>
      <c r="Z193" s="1168"/>
      <c r="AA193" s="1168"/>
      <c r="AB193" s="1168"/>
      <c r="AC193" s="1168"/>
      <c r="AD193" s="1168"/>
      <c r="AE193" s="1640"/>
      <c r="AF193" s="574"/>
      <c r="AG193" s="574"/>
      <c r="AH193" s="574"/>
      <c r="AI193" s="574"/>
      <c r="AJ193" s="1649">
        <v>11</v>
      </c>
    </row>
    <row s="1649" customFormat="1" customHeight="1" ht="11.549999999999999">
      <c r="A194" s="995"/>
      <c r="B194" s="1644"/>
      <c r="C194" s="1644"/>
      <c r="D194" s="359"/>
      <c r="J194" s="1649"/>
      <c r="K194" s="1649"/>
      <c r="L194" s="1649"/>
      <c r="M194" s="1649"/>
      <c r="O194" s="1168"/>
      <c r="P194" s="1644"/>
      <c r="Q194" s="1644"/>
      <c r="R194" s="1168"/>
      <c r="S194" s="1168"/>
      <c r="T194" s="1168"/>
      <c r="U194" s="1168"/>
      <c r="V194" s="1644"/>
      <c r="W194" s="1168"/>
      <c r="X194" s="1168"/>
      <c r="Y194" s="552"/>
      <c r="Z194" s="1168"/>
      <c r="AA194" s="1168"/>
      <c r="AB194" s="1168"/>
      <c r="AC194" s="1168"/>
      <c r="AD194" s="1168"/>
      <c r="AE194" s="1640"/>
      <c r="AF194" s="574"/>
      <c r="AG194" s="574"/>
      <c r="AH194" s="574"/>
      <c r="AI194" s="574"/>
      <c r="AJ194" s="1649">
        <v>11</v>
      </c>
    </row>
    <row s="1649" customFormat="1" customHeight="1" ht="11.549999999999999">
      <c r="A195" s="995"/>
      <c r="B195" s="1644"/>
      <c r="C195" s="1644"/>
      <c r="D195" s="359"/>
      <c r="J195" s="1649"/>
      <c r="K195" s="1649"/>
      <c r="L195" s="1649"/>
      <c r="M195" s="1649"/>
      <c r="O195" s="1168"/>
      <c r="P195" s="1644"/>
      <c r="Q195" s="1644"/>
      <c r="R195" s="1168"/>
      <c r="S195" s="1168"/>
      <c r="T195" s="1168"/>
      <c r="U195" s="1168"/>
      <c r="V195" s="1644"/>
      <c r="W195" s="1168"/>
      <c r="X195" s="1168"/>
      <c r="Y195" s="552"/>
      <c r="Z195" s="1168"/>
      <c r="AA195" s="1168"/>
      <c r="AB195" s="1168"/>
      <c r="AC195" s="1168"/>
      <c r="AD195" s="1168"/>
      <c r="AE195" s="1640"/>
      <c r="AF195" s="574"/>
      <c r="AG195" s="574"/>
      <c r="AH195" s="574"/>
      <c r="AI195" s="574"/>
      <c r="AJ195" s="1649">
        <v>11</v>
      </c>
    </row>
    <row s="1649" customFormat="1" customHeight="1" ht="11.549999999999999">
      <c r="A196" s="995"/>
      <c r="B196" s="1644"/>
      <c r="C196" s="1644"/>
      <c r="D196" s="359"/>
      <c r="J196" s="1649"/>
      <c r="K196" s="1649"/>
      <c r="L196" s="1649"/>
      <c r="M196" s="1649"/>
      <c r="O196" s="1168"/>
      <c r="P196" s="1644"/>
      <c r="Q196" s="1644"/>
      <c r="R196" s="1168"/>
      <c r="S196" s="1168"/>
      <c r="T196" s="1168"/>
      <c r="U196" s="1168"/>
      <c r="V196" s="1644"/>
      <c r="W196" s="1168"/>
      <c r="X196" s="1168"/>
      <c r="Y196" s="552"/>
      <c r="Z196" s="1168"/>
      <c r="AA196" s="1168"/>
      <c r="AB196" s="1168"/>
      <c r="AC196" s="1168"/>
      <c r="AD196" s="1168"/>
      <c r="AE196" s="1640"/>
      <c r="AF196" s="574"/>
      <c r="AG196" s="574"/>
      <c r="AH196" s="574"/>
      <c r="AI196" s="574"/>
      <c r="AJ196" s="1649">
        <v>11</v>
      </c>
    </row>
    <row s="1649" customFormat="1" customHeight="1" ht="11.549999999999999">
      <c r="A197" s="995"/>
      <c r="B197" s="1644"/>
      <c r="C197" s="1644"/>
      <c r="D197" s="359"/>
      <c r="J197" s="1649"/>
      <c r="K197" s="1649"/>
      <c r="L197" s="1649"/>
      <c r="M197" s="1649"/>
      <c r="O197" s="1168"/>
      <c r="P197" s="1644"/>
      <c r="Q197" s="1644"/>
      <c r="R197" s="1168"/>
      <c r="S197" s="1168"/>
      <c r="T197" s="1168"/>
      <c r="U197" s="1168"/>
      <c r="V197" s="1644"/>
      <c r="W197" s="1168"/>
      <c r="X197" s="1168"/>
      <c r="Y197" s="552"/>
      <c r="Z197" s="1168"/>
      <c r="AA197" s="1168"/>
      <c r="AB197" s="1168"/>
      <c r="AC197" s="1168"/>
      <c r="AD197" s="1168"/>
      <c r="AE197" s="1640"/>
      <c r="AF197" s="574"/>
      <c r="AG197" s="574"/>
      <c r="AH197" s="574"/>
      <c r="AI197" s="574"/>
      <c r="AJ197" s="1649">
        <v>11</v>
      </c>
    </row>
    <row s="1649" customFormat="1" customHeight="1" ht="11.549999999999999">
      <c r="A198" s="995"/>
      <c r="B198" s="1644"/>
      <c r="C198" s="1644"/>
      <c r="D198" s="359"/>
      <c r="J198" s="1649"/>
      <c r="K198" s="1649"/>
      <c r="L198" s="1649"/>
      <c r="M198" s="1649"/>
      <c r="O198" s="1168"/>
      <c r="P198" s="1644"/>
      <c r="Q198" s="1644"/>
      <c r="R198" s="1168"/>
      <c r="S198" s="1168"/>
      <c r="T198" s="1168"/>
      <c r="U198" s="1168"/>
      <c r="V198" s="1644"/>
      <c r="W198" s="1168"/>
      <c r="X198" s="1168"/>
      <c r="Y198" s="552"/>
      <c r="Z198" s="1168"/>
      <c r="AA198" s="1168"/>
      <c r="AB198" s="1168"/>
      <c r="AC198" s="1168"/>
      <c r="AD198" s="1168"/>
      <c r="AE198" s="1640"/>
      <c r="AF198" s="574"/>
      <c r="AG198" s="574"/>
      <c r="AH198" s="574"/>
      <c r="AI198" s="574"/>
      <c r="AJ198" s="1649">
        <v>11</v>
      </c>
    </row>
    <row s="1649" customFormat="1" customHeight="1" ht="11.549999999999999">
      <c r="A199" s="995"/>
      <c r="B199" s="1644"/>
      <c r="C199" s="1644"/>
      <c r="D199" s="359"/>
      <c r="J199" s="1649"/>
      <c r="K199" s="1649"/>
      <c r="L199" s="1649"/>
      <c r="M199" s="1649"/>
      <c r="O199" s="1168"/>
      <c r="P199" s="1644"/>
      <c r="Q199" s="1644"/>
      <c r="R199" s="1168"/>
      <c r="S199" s="1168"/>
      <c r="T199" s="1168"/>
      <c r="U199" s="1168"/>
      <c r="V199" s="1644"/>
      <c r="W199" s="1168"/>
      <c r="X199" s="1168"/>
      <c r="Y199" s="552"/>
      <c r="Z199" s="1168"/>
      <c r="AA199" s="1168"/>
      <c r="AB199" s="1168"/>
      <c r="AC199" s="1168"/>
      <c r="AD199" s="1168"/>
      <c r="AE199" s="1640"/>
      <c r="AF199" s="574"/>
      <c r="AG199" s="574"/>
      <c r="AH199" s="574"/>
      <c r="AI199" s="574"/>
      <c r="AJ199" s="1649">
        <v>11</v>
      </c>
    </row>
    <row s="1649" customFormat="1" customHeight="1" ht="11.549999999999999">
      <c r="A200" s="995"/>
      <c r="B200" s="1644"/>
      <c r="C200" s="1644"/>
      <c r="D200" s="359"/>
      <c r="J200" s="1649"/>
      <c r="K200" s="1649"/>
      <c r="L200" s="1649"/>
      <c r="M200" s="1649"/>
      <c r="O200" s="1168"/>
      <c r="P200" s="1644"/>
      <c r="Q200" s="1644"/>
      <c r="R200" s="1168"/>
      <c r="S200" s="1168"/>
      <c r="T200" s="1168"/>
      <c r="U200" s="1168"/>
      <c r="V200" s="1644"/>
      <c r="W200" s="1168"/>
      <c r="X200" s="1168"/>
      <c r="Y200" s="552"/>
      <c r="Z200" s="1168"/>
      <c r="AA200" s="1168"/>
      <c r="AB200" s="1168"/>
      <c r="AC200" s="1168"/>
      <c r="AD200" s="1168"/>
      <c r="AE200" s="1640"/>
      <c r="AF200" s="574"/>
      <c r="AG200" s="574"/>
      <c r="AH200" s="574"/>
      <c r="AI200" s="574"/>
      <c r="AJ200" s="1649">
        <v>11</v>
      </c>
    </row>
    <row s="1649" customFormat="1" customHeight="1" ht="11.549999999999999">
      <c r="A201" s="995"/>
      <c r="B201" s="1644"/>
      <c r="C201" s="1644"/>
      <c r="D201" s="359"/>
      <c r="J201" s="1649"/>
      <c r="K201" s="1649"/>
      <c r="L201" s="1649"/>
      <c r="M201" s="1649"/>
      <c r="O201" s="1168"/>
      <c r="P201" s="1644"/>
      <c r="Q201" s="1644"/>
      <c r="R201" s="1168"/>
      <c r="S201" s="1168"/>
      <c r="T201" s="1168"/>
      <c r="U201" s="1168"/>
      <c r="V201" s="1644"/>
      <c r="W201" s="1168"/>
      <c r="X201" s="1168"/>
      <c r="Y201" s="552"/>
      <c r="Z201" s="1168"/>
      <c r="AA201" s="1168"/>
      <c r="AB201" s="1168"/>
      <c r="AC201" s="1168"/>
      <c r="AD201" s="1168"/>
      <c r="AE201" s="1640"/>
      <c r="AF201" s="574"/>
      <c r="AG201" s="574"/>
      <c r="AH201" s="574"/>
      <c r="AI201" s="574"/>
      <c r="AJ201" s="1649">
        <v>11</v>
      </c>
    </row>
    <row s="1649" customFormat="1" customHeight="1" ht="11.549999999999999">
      <c r="A202" s="995"/>
      <c r="B202" s="1644"/>
      <c r="C202" s="1644"/>
      <c r="D202" s="359"/>
      <c r="J202" s="1649"/>
      <c r="K202" s="1649"/>
      <c r="L202" s="1649"/>
      <c r="M202" s="1649"/>
      <c r="O202" s="1168"/>
      <c r="P202" s="1644"/>
      <c r="Q202" s="1644"/>
      <c r="R202" s="1168"/>
      <c r="S202" s="1168"/>
      <c r="T202" s="1168"/>
      <c r="U202" s="1168"/>
      <c r="V202" s="1644"/>
      <c r="W202" s="1168"/>
      <c r="X202" s="1168"/>
      <c r="Y202" s="552"/>
      <c r="Z202" s="1168"/>
      <c r="AA202" s="1168"/>
      <c r="AB202" s="1168"/>
      <c r="AC202" s="1168"/>
      <c r="AD202" s="1168"/>
      <c r="AE202" s="1640"/>
      <c r="AF202" s="574"/>
      <c r="AG202" s="574"/>
      <c r="AH202" s="574"/>
      <c r="AI202" s="574"/>
      <c r="AJ202" s="1649">
        <v>11</v>
      </c>
    </row>
    <row s="1649" customFormat="1" customHeight="1" ht="11.549999999999999">
      <c r="A203" s="995"/>
      <c r="B203" s="1644"/>
      <c r="C203" s="1644"/>
      <c r="D203" s="359"/>
      <c r="J203" s="1649"/>
      <c r="K203" s="1649"/>
      <c r="L203" s="1649"/>
      <c r="M203" s="1649"/>
      <c r="O203" s="1168"/>
      <c r="P203" s="1644"/>
      <c r="Q203" s="1644"/>
      <c r="R203" s="1168"/>
      <c r="S203" s="1168"/>
      <c r="T203" s="1168"/>
      <c r="U203" s="1168"/>
      <c r="V203" s="1644"/>
      <c r="W203" s="1168"/>
      <c r="X203" s="1168"/>
      <c r="Y203" s="552"/>
      <c r="Z203" s="1168"/>
      <c r="AA203" s="1168"/>
      <c r="AB203" s="1168"/>
      <c r="AC203" s="1168"/>
      <c r="AD203" s="1168"/>
      <c r="AE203" s="1640"/>
      <c r="AF203" s="574"/>
      <c r="AG203" s="574"/>
      <c r="AH203" s="574"/>
      <c r="AI203" s="574"/>
      <c r="AJ203" s="1649">
        <v>11</v>
      </c>
    </row>
    <row s="1649" customFormat="1" customHeight="1" ht="11.549999999999999">
      <c r="A204" s="995"/>
      <c r="B204" s="1644"/>
      <c r="C204" s="1644"/>
      <c r="D204" s="359"/>
      <c r="J204" s="1649"/>
      <c r="K204" s="1649"/>
      <c r="L204" s="1649"/>
      <c r="M204" s="1649"/>
      <c r="O204" s="1168"/>
      <c r="P204" s="1644"/>
      <c r="Q204" s="1644"/>
      <c r="R204" s="1168"/>
      <c r="S204" s="1168"/>
      <c r="T204" s="1168"/>
      <c r="U204" s="1168"/>
      <c r="V204" s="1644"/>
      <c r="W204" s="1168"/>
      <c r="X204" s="1168"/>
      <c r="Y204" s="552"/>
      <c r="Z204" s="1168"/>
      <c r="AA204" s="1168"/>
      <c r="AB204" s="1168"/>
      <c r="AC204" s="1168"/>
      <c r="AD204" s="1168"/>
      <c r="AE204" s="1640"/>
      <c r="AF204" s="574"/>
      <c r="AG204" s="574"/>
      <c r="AH204" s="574"/>
      <c r="AI204" s="574"/>
      <c r="AJ204" s="1649">
        <v>11</v>
      </c>
    </row>
    <row customHeight="1" ht="11.549999999999999">
      <c r="J205" s="1643"/>
      <c r="K205" s="1643"/>
      <c r="L205" s="1643"/>
      <c r="M205" s="1643"/>
      <c r="AJ205" s="1639">
        <v>11</v>
      </c>
    </row>
    <row customHeight="1" ht="11.549999999999999">
      <c r="J206" s="1643"/>
      <c r="K206" s="1643"/>
      <c r="L206" s="1643"/>
      <c r="M206" s="1643"/>
      <c r="AJ206" s="1639">
        <v>11</v>
      </c>
    </row>
    <row customHeight="1" ht="11.549999999999999">
      <c r="J207" s="1643"/>
      <c r="K207" s="1643"/>
      <c r="L207" s="1643"/>
      <c r="M207" s="1643"/>
      <c r="AJ207" s="1639">
        <v>11</v>
      </c>
    </row>
    <row customHeight="1" ht="11.549999999999999">
      <c r="A208" s="998"/>
      <c r="B208" s="1639"/>
      <c r="D208" s="1639"/>
      <c r="J208" s="1643"/>
      <c r="K208" s="1643"/>
      <c r="L208" s="1643"/>
      <c r="M208" s="1643"/>
      <c r="O208" s="1639"/>
      <c r="R208" s="1639"/>
      <c r="S208" s="1639"/>
      <c r="T208" s="1639"/>
      <c r="U208" s="1639"/>
      <c r="W208" s="1639"/>
      <c r="X208" s="1639"/>
      <c r="Y208" s="1639"/>
      <c r="Z208" s="1639"/>
      <c r="AA208" s="1639"/>
      <c r="AB208" s="1639"/>
      <c r="AC208" s="1639"/>
      <c r="AD208" s="1639"/>
      <c r="AE208" s="1639"/>
      <c r="AF208" s="1639"/>
      <c r="AG208" s="1639"/>
      <c r="AH208" s="1639"/>
      <c r="AI208" s="1639"/>
      <c r="AJ208" s="1639">
        <v>11</v>
      </c>
    </row>
    <row customHeight="1" ht="11.549999999999999">
      <c r="A209" s="998"/>
      <c r="B209" s="1639"/>
      <c r="D209" s="1639"/>
      <c r="J209" s="1643"/>
      <c r="K209" s="1643"/>
      <c r="L209" s="1643"/>
      <c r="M209" s="1643"/>
      <c r="O209" s="1639"/>
      <c r="R209" s="1639"/>
      <c r="S209" s="1639"/>
      <c r="T209" s="1639"/>
      <c r="U209" s="1639"/>
      <c r="W209" s="1639"/>
      <c r="X209" s="1639"/>
      <c r="Y209" s="1639"/>
      <c r="Z209" s="1639"/>
      <c r="AA209" s="1639"/>
      <c r="AB209" s="1639"/>
      <c r="AC209" s="1639"/>
      <c r="AD209" s="1639"/>
      <c r="AE209" s="1639"/>
      <c r="AF209" s="1639"/>
      <c r="AG209" s="1639"/>
      <c r="AH209" s="1639"/>
      <c r="AI209" s="1639"/>
      <c r="AJ209" s="1639">
        <v>11</v>
      </c>
    </row>
    <row customHeight="1" ht="11.549999999999999">
      <c r="A210" s="998"/>
      <c r="B210" s="1639"/>
      <c r="D210" s="1639"/>
      <c r="J210" s="1643"/>
      <c r="K210" s="1643"/>
      <c r="L210" s="1643"/>
      <c r="M210" s="1643"/>
      <c r="O210" s="1639"/>
      <c r="R210" s="1639"/>
      <c r="S210" s="1639"/>
      <c r="T210" s="1639"/>
      <c r="U210" s="1639"/>
      <c r="W210" s="1639"/>
      <c r="X210" s="1639"/>
      <c r="Y210" s="1639"/>
      <c r="Z210" s="1639"/>
      <c r="AA210" s="1639"/>
      <c r="AB210" s="1639"/>
      <c r="AC210" s="1639"/>
      <c r="AD210" s="1639"/>
      <c r="AE210" s="1639"/>
      <c r="AF210" s="1639"/>
      <c r="AG210" s="1639"/>
      <c r="AH210" s="1639"/>
      <c r="AI210" s="1639"/>
      <c r="AJ210" s="1639">
        <v>11</v>
      </c>
    </row>
    <row customHeight="1" ht="11.549999999999999">
      <c r="A211" s="998"/>
      <c r="B211" s="1639"/>
      <c r="D211" s="1639"/>
      <c r="J211" s="1643"/>
      <c r="K211" s="1643"/>
      <c r="L211" s="1643"/>
      <c r="M211" s="1643"/>
      <c r="O211" s="1639"/>
      <c r="R211" s="1639"/>
      <c r="S211" s="1639"/>
      <c r="T211" s="1639"/>
      <c r="U211" s="1639"/>
      <c r="W211" s="1639"/>
      <c r="X211" s="1639"/>
      <c r="Y211" s="1639"/>
      <c r="Z211" s="1639"/>
      <c r="AA211" s="1639"/>
      <c r="AB211" s="1639"/>
      <c r="AC211" s="1639"/>
      <c r="AD211" s="1639"/>
      <c r="AE211" s="1639"/>
      <c r="AF211" s="1639"/>
      <c r="AG211" s="1639"/>
      <c r="AH211" s="1639"/>
      <c r="AI211" s="1639"/>
      <c r="AJ211" s="1639">
        <v>11</v>
      </c>
    </row>
    <row customHeight="1" ht="11.549999999999999">
      <c r="A212" s="998"/>
      <c r="B212" s="1639"/>
      <c r="D212" s="1639"/>
      <c r="J212" s="1643"/>
      <c r="K212" s="1643"/>
      <c r="L212" s="1643"/>
      <c r="M212" s="1643"/>
      <c r="O212" s="1639"/>
      <c r="R212" s="1639"/>
      <c r="S212" s="1639"/>
      <c r="T212" s="1639"/>
      <c r="U212" s="1639"/>
      <c r="W212" s="1639"/>
      <c r="X212" s="1639"/>
      <c r="Y212" s="1639"/>
      <c r="Z212" s="1639"/>
      <c r="AA212" s="1639"/>
      <c r="AB212" s="1639"/>
      <c r="AC212" s="1639"/>
      <c r="AD212" s="1639"/>
      <c r="AE212" s="1639"/>
      <c r="AF212" s="1639"/>
      <c r="AG212" s="1639"/>
      <c r="AH212" s="1639"/>
      <c r="AI212" s="1639"/>
      <c r="AJ212" s="1639">
        <v>11</v>
      </c>
    </row>
    <row customHeight="1" ht="11.549999999999999">
      <c r="A213" s="998"/>
      <c r="B213" s="1639"/>
      <c r="D213" s="1639"/>
      <c r="J213" s="1643"/>
      <c r="K213" s="1643"/>
      <c r="L213" s="1643"/>
      <c r="M213" s="1643"/>
      <c r="O213" s="1639"/>
      <c r="R213" s="1639"/>
      <c r="S213" s="1639"/>
      <c r="T213" s="1639"/>
      <c r="U213" s="1639"/>
      <c r="W213" s="1639"/>
      <c r="X213" s="1639"/>
      <c r="Y213" s="1639"/>
      <c r="Z213" s="1639"/>
      <c r="AA213" s="1639"/>
      <c r="AB213" s="1639"/>
      <c r="AC213" s="1639"/>
      <c r="AD213" s="1639"/>
      <c r="AE213" s="1639"/>
      <c r="AF213" s="1639"/>
      <c r="AG213" s="1639"/>
      <c r="AH213" s="1639"/>
      <c r="AI213" s="1639"/>
      <c r="AJ213" s="1639">
        <v>11</v>
      </c>
    </row>
    <row customHeight="1" ht="11.549999999999999">
      <c r="A214" s="998"/>
      <c r="B214" s="1639"/>
      <c r="D214" s="1639"/>
      <c r="J214" s="1643"/>
      <c r="K214" s="1643"/>
      <c r="L214" s="1643"/>
      <c r="M214" s="1643"/>
      <c r="O214" s="1639"/>
      <c r="R214" s="1639"/>
      <c r="S214" s="1639"/>
      <c r="T214" s="1639"/>
      <c r="U214" s="1639"/>
      <c r="W214" s="1639"/>
      <c r="X214" s="1639"/>
      <c r="Y214" s="1639"/>
      <c r="Z214" s="1639"/>
      <c r="AA214" s="1639"/>
      <c r="AB214" s="1639"/>
      <c r="AC214" s="1639"/>
      <c r="AD214" s="1639"/>
      <c r="AE214" s="1639"/>
      <c r="AF214" s="1639"/>
      <c r="AG214" s="1639"/>
      <c r="AH214" s="1639"/>
      <c r="AI214" s="1639"/>
      <c r="AJ214" s="1639">
        <v>11</v>
      </c>
    </row>
    <row customHeight="1" ht="11.549999999999999">
      <c r="A215" s="998"/>
      <c r="B215" s="1639"/>
      <c r="D215" s="1639"/>
      <c r="J215" s="1643"/>
      <c r="K215" s="1643"/>
      <c r="L215" s="1643"/>
      <c r="M215" s="1643"/>
      <c r="O215" s="1639"/>
      <c r="R215" s="1639"/>
      <c r="S215" s="1639"/>
      <c r="T215" s="1639"/>
      <c r="U215" s="1639"/>
      <c r="W215" s="1639"/>
      <c r="X215" s="1639"/>
      <c r="Y215" s="1639"/>
      <c r="Z215" s="1639"/>
      <c r="AA215" s="1639"/>
      <c r="AB215" s="1639"/>
      <c r="AC215" s="1639"/>
      <c r="AD215" s="1639"/>
      <c r="AE215" s="1639"/>
      <c r="AF215" s="1639"/>
      <c r="AG215" s="1639"/>
      <c r="AH215" s="1639"/>
      <c r="AI215" s="1639"/>
      <c r="AJ215" s="1639">
        <v>11</v>
      </c>
    </row>
    <row customHeight="1" ht="11.549999999999999">
      <c r="A216" s="998"/>
      <c r="B216" s="1639"/>
      <c r="D216" s="1639"/>
      <c r="J216" s="1643"/>
      <c r="K216" s="1643"/>
      <c r="L216" s="1643"/>
      <c r="M216" s="1643"/>
      <c r="O216" s="1639"/>
      <c r="R216" s="1639"/>
      <c r="S216" s="1639"/>
      <c r="T216" s="1639"/>
      <c r="U216" s="1639"/>
      <c r="W216" s="1639"/>
      <c r="X216" s="1639"/>
      <c r="Y216" s="1639"/>
      <c r="Z216" s="1639"/>
      <c r="AA216" s="1639"/>
      <c r="AB216" s="1639"/>
      <c r="AC216" s="1639"/>
      <c r="AD216" s="1639"/>
      <c r="AE216" s="1639"/>
      <c r="AF216" s="1639"/>
      <c r="AG216" s="1639"/>
      <c r="AH216" s="1639"/>
      <c r="AI216" s="1639"/>
      <c r="AJ216" s="1639">
        <v>11</v>
      </c>
    </row>
    <row customHeight="1" ht="11.549999999999999">
      <c r="A217" s="998"/>
      <c r="B217" s="1639"/>
      <c r="D217" s="1639"/>
      <c r="J217" s="1643"/>
      <c r="K217" s="1643"/>
      <c r="L217" s="1643"/>
      <c r="M217" s="1643"/>
      <c r="O217" s="1639"/>
      <c r="R217" s="1639"/>
      <c r="S217" s="1639"/>
      <c r="T217" s="1639"/>
      <c r="U217" s="1639"/>
      <c r="W217" s="1639"/>
      <c r="X217" s="1639"/>
      <c r="Y217" s="1639"/>
      <c r="Z217" s="1639"/>
      <c r="AA217" s="1639"/>
      <c r="AB217" s="1639"/>
      <c r="AC217" s="1639"/>
      <c r="AD217" s="1639"/>
      <c r="AE217" s="1639"/>
      <c r="AF217" s="1639"/>
      <c r="AG217" s="1639"/>
      <c r="AH217" s="1639"/>
      <c r="AI217" s="1639"/>
      <c r="AJ217" s="1639">
        <v>11</v>
      </c>
    </row>
    <row customHeight="1" ht="11.549999999999999">
      <c r="A218" s="998"/>
      <c r="B218" s="1639"/>
      <c r="D218" s="1639"/>
      <c r="J218" s="1643"/>
      <c r="K218" s="1643"/>
      <c r="L218" s="1643"/>
      <c r="M218" s="1643"/>
      <c r="O218" s="1639"/>
      <c r="R218" s="1639"/>
      <c r="S218" s="1639"/>
      <c r="T218" s="1639"/>
      <c r="U218" s="1639"/>
      <c r="W218" s="1639"/>
      <c r="X218" s="1639"/>
      <c r="Y218" s="1639"/>
      <c r="Z218" s="1639"/>
      <c r="AA218" s="1639"/>
      <c r="AB218" s="1639"/>
      <c r="AC218" s="1639"/>
      <c r="AD218" s="1639"/>
      <c r="AE218" s="1639"/>
      <c r="AF218" s="1639"/>
      <c r="AG218" s="1639"/>
      <c r="AH218" s="1639"/>
      <c r="AI218" s="1639"/>
      <c r="AJ218" s="1639">
        <v>11</v>
      </c>
    </row>
    <row customHeight="1" ht="11.25" hidden="1">
      <c r="A219" s="995" t="s">
        <v>82</v>
      </c>
      <c r="B219" s="1168">
        <v>0</v>
      </c>
      <c r="C219" s="1644">
        <v>0</v>
      </c>
      <c r="D219" s="1643">
        <v>3</v>
      </c>
      <c r="E219" s="1639">
        <v>7</v>
      </c>
      <c r="F219" s="1639">
        <v>56</v>
      </c>
      <c r="G219" s="1639">
        <v>10</v>
      </c>
      <c r="H219" s="1639">
        <v>0</v>
      </c>
      <c r="I219" s="1639">
        <v>40</v>
      </c>
      <c r="J219" s="1643">
        <v>0</v>
      </c>
      <c r="K219" s="1643">
        <v>0</v>
      </c>
      <c r="L219" s="1643">
        <v>0</v>
      </c>
      <c r="M219" s="1643">
        <v>0</v>
      </c>
      <c r="N219" s="1639">
        <v>102</v>
      </c>
      <c r="O219" s="1168">
        <v>9</v>
      </c>
      <c r="P219" s="1644">
        <v>5</v>
      </c>
      <c r="Q219" s="1644">
        <v>3</v>
      </c>
      <c r="R219" s="1168">
        <v>3</v>
      </c>
      <c r="S219" s="1168">
        <v>3</v>
      </c>
      <c r="T219" s="1168">
        <v>3</v>
      </c>
      <c r="U219" s="1168">
        <v>3</v>
      </c>
      <c r="V219" s="1644">
        <v>10</v>
      </c>
      <c r="W219" s="1168">
        <v>34</v>
      </c>
      <c r="X219" s="1168">
        <v>9</v>
      </c>
      <c r="Y219" s="552">
        <v>8</v>
      </c>
      <c r="Z219" s="1168">
        <v>8</v>
      </c>
      <c r="AA219" s="1168">
        <v>8</v>
      </c>
      <c r="AB219" s="1168">
        <v>8</v>
      </c>
      <c r="AC219" s="1168">
        <v>8</v>
      </c>
      <c r="AD219" s="1168">
        <v>8</v>
      </c>
      <c r="AE219" s="1640">
        <v>8</v>
      </c>
      <c r="AF219" s="1640">
        <v>8</v>
      </c>
      <c r="AG219" s="1640">
        <v>8</v>
      </c>
      <c r="AH219" s="1640">
        <v>8</v>
      </c>
      <c r="AI219" s="1640">
        <v>8</v>
      </c>
      <c r="AJ219" s="1639">
        <v>11</v>
      </c>
    </row>
  </sheetData>
  <sheetProtection sheet="1" formatColumns="0" formatRows="0" autoFilter="0" sort="1" insertRows="1" insertColumns="1" deleteRows="1" deleteColumns="1"/>
  <mergeCells count="7">
    <mergeCell ref="E6:I6"/>
    <mergeCell ref="E7:I7"/>
    <mergeCell ref="F10:G10"/>
    <mergeCell ref="N10:N14"/>
    <mergeCell ref="F11:G11"/>
    <mergeCell ref="F12:G12"/>
    <mergeCell ref="E13:G13"/>
  </mergeCells>
  <dataValidations count="5">
    <dataValidation type="decimal" allowBlank="1" showErrorMessage="1" errorTitle="Ошибка" error="Допускается ввод только действительных чисел!" sqref="H42:M44">
      <formula1>-9.99999999999999E+37</formula1>
      <formula2>9.99999999999999E+37</formula2>
    </dataValidation>
    <dataValidation type="decimal" allowBlank="1" showErrorMessage="1" errorTitle="Ошибка" error="Допускается ввод только действительных чисел!" sqref="H38:M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M45">
      <formula1>900</formula1>
    </dataValidation>
    <dataValidation type="decimal" allowBlank="1" showErrorMessage="1" errorTitle="Ошибка" error="Допускается ввод только неотрицательных чисел!" sqref="H40:M41 H2:M2 H15:M15 H17:M32 H46:M48 H35: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64527-4267-E912-E90A-071E1B87467F}" mc:Ignorable="x14ac xr xr2 xr3">
  <sheetPr>
    <tabColor theme="9" tint="-0.25"/>
  </sheetPr>
  <dimension ref="A1:AJ215"/>
  <sheetViews>
    <sheetView showGridLines="0" zoomScale="90" workbookViewId="0">
      <pane xSplit="8" ySplit="14" topLeftCell="M15" activePane="bottomRight" state="frozen"/>
      <selection pane="bottomLeft" activeCell="A15" sqref="A15"/>
      <selection pane="topRight" activeCell="I1" sqref="I1"/>
      <selection pane="bottomRight" activeCell="M9" sqref="M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3" style="1643" width="40.7109375" customWidth="1"/>
    <col min="14" max="14" style="1643" width="102.00390625" customWidth="1"/>
    <col min="15" max="15" style="1374" width="9.00390625" customWidth="1"/>
    <col min="16" max="16" style="1650" width="5.00390625" customWidth="1"/>
    <col min="17" max="17" style="1650" width="3.00390625" customWidth="1"/>
    <col min="18" max="21" style="1374" width="3.00390625" customWidth="1"/>
    <col min="22" max="22" style="1650" width="10.00390625" customWidth="1"/>
    <col min="23" max="23" style="1374" width="34.00390625" customWidth="1"/>
    <col min="24" max="24" style="1374" width="9.00390625" customWidth="1"/>
    <col min="25" max="25" style="744" width="8.00390625" customWidth="1"/>
    <col min="26" max="30" style="1374" width="8.00390625" customWidth="1"/>
    <col min="31" max="35" style="1640" width="8.00390625" customWidth="1"/>
    <col min="36" max="36" style="1643" width="9.140625" hidden="1"/>
  </cols>
  <sheetData>
    <row s="1374" customFormat="1" customHeight="1" ht="22.5" hidden="1">
      <c r="A1" s="995"/>
      <c r="C1" s="1644"/>
      <c r="D1" s="545"/>
      <c r="H1" s="1168">
        <v>4</v>
      </c>
      <c r="I1" s="1168">
        <v>4</v>
      </c>
      <c r="J1" s="1374">
        <v>4</v>
      </c>
      <c r="K1" s="1374">
        <v>4</v>
      </c>
      <c r="L1" s="1374">
        <v>4</v>
      </c>
      <c r="M1" s="1374">
        <v>4</v>
      </c>
      <c r="P1" s="1644"/>
      <c r="Q1" s="1644"/>
      <c r="V1" s="1644"/>
      <c r="AJ1" s="1168" t="s">
        <v>14</v>
      </c>
    </row>
    <row s="1374" customFormat="1" customHeight="1" ht="22.5" hidden="1">
      <c r="A2" s="995"/>
      <c r="C2" s="1644"/>
      <c r="D2" s="546"/>
      <c r="E2" s="1666"/>
      <c r="F2" s="548"/>
      <c r="G2" s="1665" t="s">
        <v>569</v>
      </c>
      <c r="H2" s="549"/>
      <c r="I2" s="549"/>
      <c r="J2" s="759"/>
      <c r="K2" s="759"/>
      <c r="L2" s="759"/>
      <c r="M2" s="759"/>
      <c r="N2" s="550" t="s">
        <v>572</v>
      </c>
      <c r="O2" s="551"/>
      <c r="P2" s="1644"/>
      <c r="Q2" s="1644"/>
      <c r="V2" s="1644"/>
      <c r="Y2" s="552"/>
      <c r="AE2" s="1640"/>
      <c r="AF2" s="1640"/>
      <c r="AG2" s="1640"/>
      <c r="AH2" s="1640"/>
      <c r="AI2" s="1640"/>
      <c r="AJ2" s="1168">
        <v>0</v>
      </c>
    </row>
    <row customHeight="1" ht="11.25" hidden="1">
      <c r="J3" s="1643"/>
      <c r="K3" s="1643"/>
      <c r="L3" s="1643"/>
      <c r="M3" s="1643"/>
      <c r="AJ3" s="1639">
        <v>0</v>
      </c>
    </row>
    <row s="1640" customFormat="1" customHeight="1" ht="11.25" hidden="1">
      <c r="A4" s="995"/>
      <c r="B4" s="1168"/>
      <c r="C4" s="1644"/>
      <c r="D4" s="370"/>
      <c r="J4" s="1640"/>
      <c r="K4" s="1640"/>
      <c r="L4" s="1640"/>
      <c r="M4" s="1640"/>
      <c r="N4" s="1640">
        <v>4</v>
      </c>
      <c r="O4" s="1168"/>
      <c r="P4" s="1644"/>
      <c r="Q4" s="1644"/>
      <c r="R4" s="1168"/>
      <c r="S4" s="1168"/>
      <c r="T4" s="1168"/>
      <c r="U4" s="1168"/>
      <c r="V4" s="1644"/>
      <c r="W4" s="1168"/>
      <c r="X4" s="1168"/>
      <c r="Y4" s="552"/>
      <c r="Z4" s="1168"/>
      <c r="AA4" s="1168"/>
      <c r="AB4" s="1168"/>
      <c r="AC4" s="1168"/>
      <c r="AD4" s="1168"/>
      <c r="AJ4" s="1640">
        <v>0</v>
      </c>
    </row>
    <row customHeight="1" ht="11.549999999999999">
      <c r="J5" s="1643"/>
      <c r="K5" s="1643"/>
      <c r="L5" s="1643"/>
      <c r="M5" s="1643"/>
      <c r="AJ5" s="1639">
        <v>11</v>
      </c>
    </row>
    <row customHeight="1" ht="33.75">
      <c r="E6" s="2269" t="s">
        <v>807</v>
      </c>
      <c r="F6" s="2269"/>
      <c r="G6" s="2269"/>
      <c r="H6" s="2269"/>
      <c r="I6" s="2269"/>
      <c r="J6" s="2269"/>
      <c r="K6" s="2269"/>
      <c r="L6" s="2269"/>
      <c r="M6" s="2269"/>
      <c r="N6" s="564"/>
      <c r="AJ6" s="1639">
        <v>32</v>
      </c>
    </row>
    <row customHeight="1" ht="25.2">
      <c r="E7" s="2270" t="str">
        <f>IF(org=0,"Не определено",org)</f>
        <v>АО "ДГК"</v>
      </c>
      <c r="F7" s="2270"/>
      <c r="G7" s="2270"/>
      <c r="H7" s="2270"/>
      <c r="I7" s="2270"/>
      <c r="J7" s="2270"/>
      <c r="K7" s="2270"/>
      <c r="L7" s="2270"/>
      <c r="M7" s="2270"/>
      <c r="AJ7" s="1639">
        <v>24</v>
      </c>
    </row>
    <row customHeight="1" ht="11.549999999999999">
      <c r="E8" s="1143"/>
      <c r="F8" s="1143"/>
      <c r="G8" s="1143"/>
      <c r="H8" s="1143"/>
      <c r="I8" s="1143"/>
      <c r="J8" s="1144" t="s">
        <v>22</v>
      </c>
      <c r="K8" s="1144" t="s">
        <v>22</v>
      </c>
      <c r="L8" s="1144" t="s">
        <v>22</v>
      </c>
      <c r="M8" s="1144" t="s">
        <v>22</v>
      </c>
      <c r="AJ8" s="1639">
        <v>11</v>
      </c>
    </row>
    <row s="1650" customFormat="1" customHeight="1" ht="1.05">
      <c r="A9" s="1175"/>
      <c r="D9" s="1650"/>
      <c r="H9" s="897"/>
      <c r="I9" s="897" t="s">
        <v>126</v>
      </c>
      <c r="J9" s="897" t="s">
        <v>132</v>
      </c>
      <c r="K9" s="897" t="s">
        <v>135</v>
      </c>
      <c r="L9" s="897" t="s">
        <v>137</v>
      </c>
      <c r="M9" s="897" t="s">
        <v>139</v>
      </c>
      <c r="AJ9" s="1644">
        <v>1</v>
      </c>
    </row>
    <row customHeight="1" ht="11.549999999999999">
      <c r="E10" s="719"/>
      <c r="F10" s="2388" t="s">
        <v>114</v>
      </c>
      <c r="G10" s="2389"/>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414" t="str">
        <f>IF(J9="","",INDEX(DIFFERENTIATION_UNMERGE_VD,MATCH(J9,DIFFERENTIATION_ID_DIFF,0)))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14" t="str">
        <f>IF(K9="","",INDEX(DIFFERENTIATION_UNMERGE_VD,MATCH(K9,DIFFERENTIATION_ID_DIFF,0)))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14" t="str">
        <f>IF(L9="","",INDEX(DIFFERENTIATION_UNMERGE_VD,MATCH(L9,DIFFERENTIATION_ID_DIFF,0)))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M10" s="2414"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148" t="s">
        <v>318</v>
      </c>
      <c r="AJ10" s="1639">
        <v>11</v>
      </c>
    </row>
    <row customHeight="1" ht="11.549999999999999">
      <c r="E11" s="719"/>
      <c r="F11" s="2388" t="s">
        <v>581</v>
      </c>
      <c r="G11" s="2389"/>
      <c r="H11" s="1667" t="str">
        <f>IF(H9="","",INDEX(DIFFERENTIATION_UNMERGE_AREA,MATCH(H9,DIFFERENTIATION_ID_DIFF,0)))</f>
        <v/>
      </c>
      <c r="I11" s="1667" t="str">
        <f>IF(I9="","",INDEX(DIFFERENTIATION_UNMERGE_AREA,MATCH(I9,DIFFERENTIATION_ID_DIFF,0)))</f>
        <v>Территория 1</v>
      </c>
      <c r="J11" s="2414" t="str">
        <f>IF(J9="","",INDEX(DIFFERENTIATION_UNMERGE_AREA,MATCH(J9,DIFFERENTIATION_ID_DIFF,0)))</f>
        <v>Территория 2</v>
      </c>
      <c r="K11" s="2414" t="str">
        <f>IF(K9="","",INDEX(DIFFERENTIATION_UNMERGE_AREA,MATCH(K9,DIFFERENTIATION_ID_DIFF,0)))</f>
        <v>Территория 2</v>
      </c>
      <c r="L11" s="2414" t="str">
        <f>IF(L9="","",INDEX(DIFFERENTIATION_UNMERGE_AREA,MATCH(L9,DIFFERENTIATION_ID_DIFF,0)))</f>
        <v>Территория 3</v>
      </c>
      <c r="M11" s="2414" t="str">
        <f>IF(M9="","",INDEX(DIFFERENTIATION_UNMERGE_AREA,MATCH(M9,DIFFERENTIATION_ID_DIFF,0)))</f>
        <v>Территория 3</v>
      </c>
      <c r="N11" s="2148"/>
      <c r="AJ11" s="1639">
        <v>11</v>
      </c>
    </row>
    <row customHeight="1" ht="11.25" hidden="1">
      <c r="E12" s="1670"/>
      <c r="F12" s="2411" t="s">
        <v>582</v>
      </c>
      <c r="G12" s="2412"/>
      <c r="H12" s="1671" t="str">
        <f>IF(H9="","",INDEX(DIFFERENTIATION_UNMERGE_SYSTEM,MATCH(H9,DIFFERENTIATION_ID_DIFF,0)))</f>
        <v/>
      </c>
      <c r="I12" s="1671" t="str">
        <f>IF(I9="","",INDEX(DIFFERENTIATION_UNMERGE_SYSTEM,MATCH(I9,DIFFERENTIATION_ID_DIFF,0)))</f>
        <v>Благовещенская ТЭЦ, ТС Благовещенск</v>
      </c>
      <c r="J12" s="1671" t="str">
        <f>IF(J9="","",INDEX(DIFFERENTIATION_UNMERGE_SYSTEM,MATCH(J9,DIFFERENTIATION_ID_DIFF,0)))</f>
        <v>Райчихинская ГРЭС, ТС Прогресс</v>
      </c>
      <c r="K12" s="1671" t="str">
        <f>IF(K9="","",INDEX(DIFFERENTIATION_UNMERGE_SYSTEM,MATCH(K9,DIFFERENTIATION_ID_DIFF,0)))</f>
        <v>Котельная (Новорайчихинск)</v>
      </c>
      <c r="L12" s="1671" t="str">
        <f>IF(L9="","",INDEX(DIFFERENTIATION_UNMERGE_SYSTEM,MATCH(L9,DIFFERENTIATION_ID_DIFF,0)))</f>
        <v>Благовещенская ТЭЦ (с. Чигири)</v>
      </c>
      <c r="M12" s="1671" t="str">
        <f>IF(M9="","",INDEX(DIFFERENTIATION_UNMERGE_SYSTEM,MATCH(M9,DIFFERENTIATION_ID_DIFF,0)))</f>
        <v>Котельная Центральная (с.Чигири)</v>
      </c>
      <c r="N12" s="2148"/>
      <c r="AJ12" s="1639">
        <v>0</v>
      </c>
    </row>
    <row customHeight="1" ht="11.549999999999999">
      <c r="E13" s="2390" t="s">
        <v>317</v>
      </c>
      <c r="F13" s="2391"/>
      <c r="G13" s="2391"/>
      <c r="H13" s="1664"/>
      <c r="I13" s="1664"/>
      <c r="J13" s="2388"/>
      <c r="K13" s="2388"/>
      <c r="L13" s="2388"/>
      <c r="M13" s="2388"/>
      <c r="N13" s="2148"/>
      <c r="AJ13" s="1639">
        <v>11</v>
      </c>
    </row>
    <row customHeight="1" ht="24">
      <c r="E14" s="1665" t="s">
        <v>88</v>
      </c>
      <c r="F14" s="1668" t="s">
        <v>319</v>
      </c>
      <c r="G14" s="1668" t="s">
        <v>583</v>
      </c>
      <c r="H14" s="1668" t="s">
        <v>320</v>
      </c>
      <c r="I14" s="1668" t="s">
        <v>320</v>
      </c>
      <c r="J14" s="2387" t="s">
        <v>320</v>
      </c>
      <c r="K14" s="2387" t="s">
        <v>320</v>
      </c>
      <c r="L14" s="2387" t="s">
        <v>320</v>
      </c>
      <c r="M14" s="2387" t="s">
        <v>320</v>
      </c>
      <c r="N14" s="2148"/>
      <c r="AJ14" s="1639">
        <v>23</v>
      </c>
    </row>
    <row customHeight="1" ht="19.95">
      <c r="D15" s="1646"/>
      <c r="E15" s="1638" t="s">
        <v>118</v>
      </c>
      <c r="F15" s="715" t="s">
        <v>808</v>
      </c>
      <c r="G15" s="1665" t="s">
        <v>569</v>
      </c>
      <c r="H15" s="565"/>
      <c r="I15" s="565"/>
      <c r="J15" s="565"/>
      <c r="K15" s="565"/>
      <c r="L15" s="565"/>
      <c r="M15" s="565"/>
      <c r="N15" s="297" t="s">
        <v>809</v>
      </c>
      <c r="O15" s="551" t="s">
        <v>652</v>
      </c>
      <c r="AJ15" s="1639">
        <v>19</v>
      </c>
    </row>
    <row customHeight="1" ht="24">
      <c r="D16" s="1646"/>
      <c r="E16" s="1638" t="s">
        <v>102</v>
      </c>
      <c r="F16" s="2092" t="s">
        <v>810</v>
      </c>
      <c r="G16" s="1665" t="s">
        <v>569</v>
      </c>
      <c r="H16" s="566">
        <f>SUM(H17,H20:H27)</f>
        <v>0</v>
      </c>
      <c r="I16" s="566">
        <f>SUM(I17,I20:I27)</f>
        <v>0</v>
      </c>
      <c r="J16" s="566">
        <f>SUM(J17,J20:J27)</f>
        <v>0</v>
      </c>
      <c r="K16" s="566">
        <f>SUM(K17,K20:K27)</f>
        <v>0</v>
      </c>
      <c r="L16" s="566">
        <f>SUM(L17,L20:L27)</f>
        <v>0</v>
      </c>
      <c r="M16" s="566">
        <f>SUM(M17,M20:M27)</f>
        <v>0</v>
      </c>
      <c r="N16" s="2089" t="s">
        <v>811</v>
      </c>
      <c r="O16" s="551" t="s">
        <v>652</v>
      </c>
      <c r="AJ16" s="1639">
        <v>23</v>
      </c>
    </row>
    <row customHeight="1" ht="35.699999999999996">
      <c r="D17" s="1646"/>
      <c r="E17" s="1672" t="s">
        <v>735</v>
      </c>
      <c r="F17" s="1674" t="s">
        <v>812</v>
      </c>
      <c r="G17" s="1662" t="s">
        <v>569</v>
      </c>
      <c r="H17" s="565"/>
      <c r="I17" s="565"/>
      <c r="J17" s="565"/>
      <c r="K17" s="565"/>
      <c r="L17" s="565"/>
      <c r="M17" s="565"/>
      <c r="N17" s="297" t="s">
        <v>813</v>
      </c>
      <c r="O17" s="551"/>
      <c r="AJ17" s="1639">
        <v>34</v>
      </c>
    </row>
    <row customHeight="1" ht="19.95">
      <c r="D18" s="1646"/>
      <c r="E18" s="1672" t="s">
        <v>738</v>
      </c>
      <c r="F18" s="1675" t="s">
        <v>814</v>
      </c>
      <c r="G18" s="1662" t="s">
        <v>569</v>
      </c>
      <c r="H18" s="565"/>
      <c r="I18" s="565"/>
      <c r="J18" s="565"/>
      <c r="K18" s="565"/>
      <c r="L18" s="565"/>
      <c r="M18" s="565"/>
      <c r="N18" s="297"/>
      <c r="O18" s="551"/>
      <c r="AJ18" s="1639">
        <v>19</v>
      </c>
    </row>
    <row customHeight="1" ht="24">
      <c r="D19" s="1646"/>
      <c r="E19" s="1672" t="s">
        <v>741</v>
      </c>
      <c r="F19" s="1675" t="s">
        <v>815</v>
      </c>
      <c r="G19" s="1662" t="s">
        <v>569</v>
      </c>
      <c r="H19" s="565"/>
      <c r="I19" s="565"/>
      <c r="J19" s="565"/>
      <c r="K19" s="565"/>
      <c r="L19" s="565"/>
      <c r="M19" s="565"/>
      <c r="N19" s="297"/>
      <c r="O19" s="551"/>
      <c r="AJ19" s="1639">
        <v>23</v>
      </c>
    </row>
    <row customHeight="1" ht="35.699999999999996">
      <c r="D20" s="1646"/>
      <c r="E20" s="1672" t="s">
        <v>324</v>
      </c>
      <c r="F20" s="1674" t="s">
        <v>816</v>
      </c>
      <c r="G20" s="1662" t="s">
        <v>569</v>
      </c>
      <c r="H20" s="565"/>
      <c r="I20" s="565"/>
      <c r="J20" s="565"/>
      <c r="K20" s="565"/>
      <c r="L20" s="565"/>
      <c r="M20" s="565"/>
      <c r="N20" s="297"/>
      <c r="O20" s="551"/>
      <c r="AJ20" s="1639">
        <v>34</v>
      </c>
    </row>
    <row customHeight="1" ht="48.29999999999999">
      <c r="D21" s="1646"/>
      <c r="E21" s="1672" t="s">
        <v>327</v>
      </c>
      <c r="F21" s="1674" t="s">
        <v>817</v>
      </c>
      <c r="G21" s="1662" t="s">
        <v>569</v>
      </c>
      <c r="H21" s="565"/>
      <c r="I21" s="565"/>
      <c r="J21" s="565"/>
      <c r="K21" s="565"/>
      <c r="L21" s="565"/>
      <c r="M21" s="565"/>
      <c r="N21" s="297"/>
      <c r="O21" s="551"/>
      <c r="AJ21" s="1639">
        <v>46</v>
      </c>
    </row>
    <row customHeight="1" ht="60">
      <c r="D22" s="1646"/>
      <c r="E22" s="1672" t="s">
        <v>755</v>
      </c>
      <c r="F22" s="1674" t="s">
        <v>818</v>
      </c>
      <c r="G22" s="1662" t="s">
        <v>569</v>
      </c>
      <c r="H22" s="565"/>
      <c r="I22" s="565"/>
      <c r="J22" s="565"/>
      <c r="K22" s="565"/>
      <c r="L22" s="565"/>
      <c r="M22" s="565"/>
      <c r="N22" s="297"/>
      <c r="O22" s="551"/>
      <c r="AJ22" s="1639">
        <v>57</v>
      </c>
    </row>
    <row customHeight="1" ht="35.699999999999996">
      <c r="D23" s="1646"/>
      <c r="E23" s="1672" t="s">
        <v>762</v>
      </c>
      <c r="F23" s="1674" t="s">
        <v>819</v>
      </c>
      <c r="G23" s="1662" t="s">
        <v>569</v>
      </c>
      <c r="H23" s="565"/>
      <c r="I23" s="565"/>
      <c r="J23" s="565"/>
      <c r="K23" s="565"/>
      <c r="L23" s="565"/>
      <c r="M23" s="565"/>
      <c r="N23" s="297"/>
      <c r="O23" s="551"/>
      <c r="AJ23" s="1639">
        <v>34</v>
      </c>
    </row>
    <row customHeight="1" ht="35.699999999999996">
      <c r="D24" s="1646"/>
      <c r="E24" s="1672" t="s">
        <v>764</v>
      </c>
      <c r="F24" s="1674" t="s">
        <v>820</v>
      </c>
      <c r="G24" s="1662" t="s">
        <v>569</v>
      </c>
      <c r="H24" s="565"/>
      <c r="I24" s="565"/>
      <c r="J24" s="565"/>
      <c r="K24" s="565"/>
      <c r="L24" s="565"/>
      <c r="M24" s="565"/>
      <c r="N24" s="297"/>
      <c r="O24" s="551"/>
      <c r="AJ24" s="1639">
        <v>34</v>
      </c>
    </row>
    <row customHeight="1" ht="24">
      <c r="D25" s="1646"/>
      <c r="E25" s="1672" t="s">
        <v>766</v>
      </c>
      <c r="F25" s="1674" t="s">
        <v>821</v>
      </c>
      <c r="G25" s="1662" t="s">
        <v>569</v>
      </c>
      <c r="H25" s="565"/>
      <c r="I25" s="565"/>
      <c r="J25" s="565"/>
      <c r="K25" s="565"/>
      <c r="L25" s="565"/>
      <c r="M25" s="565"/>
      <c r="N25" s="297"/>
      <c r="O25" s="551"/>
      <c r="AJ25" s="1639">
        <v>23</v>
      </c>
    </row>
    <row customHeight="1" ht="76.5">
      <c r="D26" s="1646"/>
      <c r="E26" s="1672" t="s">
        <v>768</v>
      </c>
      <c r="F26" s="1674" t="s">
        <v>822</v>
      </c>
      <c r="G26" s="1662" t="s">
        <v>569</v>
      </c>
      <c r="H26" s="565"/>
      <c r="I26" s="565"/>
      <c r="J26" s="565"/>
      <c r="K26" s="565"/>
      <c r="L26" s="565"/>
      <c r="M26" s="565"/>
      <c r="N26" s="297"/>
      <c r="O26" s="551"/>
      <c r="AJ26" s="1639">
        <v>73</v>
      </c>
    </row>
    <row s="1374" customFormat="1" customHeight="1" ht="35.699999999999996">
      <c r="A27" s="995"/>
      <c r="C27" s="1644"/>
      <c r="D27" s="1646"/>
      <c r="E27" s="1637" t="s">
        <v>772</v>
      </c>
      <c r="F27" s="1636" t="s">
        <v>823</v>
      </c>
      <c r="G27" s="1663" t="s">
        <v>569</v>
      </c>
      <c r="H27" s="587">
        <f>SUM(H28:H29)</f>
        <v>0</v>
      </c>
      <c r="I27" s="587">
        <f>SUM(I28:I29)</f>
        <v>0</v>
      </c>
      <c r="J27" s="587">
        <f>SUM(J28:J29)</f>
        <v>0</v>
      </c>
      <c r="K27" s="587">
        <f>SUM(K28:K29)</f>
        <v>0</v>
      </c>
      <c r="L27" s="587">
        <f>SUM(L28:L29)</f>
        <v>0</v>
      </c>
      <c r="M27" s="587">
        <f>SUM(M28:M29)</f>
        <v>0</v>
      </c>
      <c r="N27" s="297" t="s">
        <v>770</v>
      </c>
      <c r="O27" s="551"/>
      <c r="P27" s="1644"/>
      <c r="Q27" s="1644"/>
      <c r="V27" s="1644"/>
      <c r="Y27" s="552"/>
      <c r="AE27" s="1640"/>
      <c r="AF27" s="1640"/>
      <c r="AG27" s="1640"/>
      <c r="AH27" s="1640"/>
      <c r="AI27" s="1640"/>
      <c r="AJ27" s="1168">
        <v>34</v>
      </c>
    </row>
    <row s="1650" customFormat="1" customHeight="1" ht="1.05">
      <c r="A28" s="1175"/>
      <c r="D28" s="556"/>
      <c r="E28" s="810" t="str">
        <f>E27&amp;".0"</f>
        <v>2.9.0</v>
      </c>
      <c r="F28" s="999"/>
      <c r="G28" s="559"/>
      <c r="H28" s="1000"/>
      <c r="I28" s="1000"/>
      <c r="J28" s="1000"/>
      <c r="K28" s="1000"/>
      <c r="L28" s="1000"/>
      <c r="M28" s="1000"/>
      <c r="N28" s="1001"/>
      <c r="AJ28" s="1644">
        <v>1</v>
      </c>
    </row>
    <row s="1374" customFormat="1" customHeight="1" ht="19.95">
      <c r="A29" s="995"/>
      <c r="C29" s="1644"/>
      <c r="D29" s="1641"/>
      <c r="E29" s="578"/>
      <c r="F29" s="1673" t="s">
        <v>594</v>
      </c>
      <c r="G29" s="580"/>
      <c r="H29" s="581"/>
      <c r="I29" s="581"/>
      <c r="J29" s="2691"/>
      <c r="K29" s="2692"/>
      <c r="L29" s="2693"/>
      <c r="M29" s="2694"/>
      <c r="N29" s="309" t="s">
        <v>771</v>
      </c>
      <c r="O29" s="551"/>
      <c r="P29" s="1644"/>
      <c r="Q29" s="1644"/>
      <c r="V29" s="1644"/>
      <c r="Y29" s="552"/>
      <c r="AE29" s="1640"/>
      <c r="AF29" s="1640"/>
      <c r="AG29" s="1640"/>
      <c r="AH29" s="1640"/>
      <c r="AI29" s="1640"/>
      <c r="AJ29" s="1168">
        <v>19</v>
      </c>
    </row>
    <row customHeight="1" ht="76.5">
      <c r="B30" s="1374"/>
      <c r="D30" s="2083"/>
      <c r="E30" s="1672" t="s">
        <v>824</v>
      </c>
      <c r="F30" s="2091" t="s">
        <v>779</v>
      </c>
      <c r="G30" s="2082" t="s">
        <v>569</v>
      </c>
      <c r="H30" s="565"/>
      <c r="I30" s="565"/>
      <c r="J30" s="565"/>
      <c r="K30" s="565"/>
      <c r="L30" s="565"/>
      <c r="M30" s="565"/>
      <c r="N30" s="2089" t="s">
        <v>825</v>
      </c>
      <c r="O30" s="551"/>
      <c r="R30" s="1374"/>
      <c r="S30" s="1374"/>
      <c r="T30" s="1374"/>
      <c r="U30" s="1374"/>
      <c r="W30" s="1374"/>
      <c r="X30" s="1374"/>
      <c r="Z30" s="1374"/>
      <c r="AA30" s="1374"/>
      <c r="AB30" s="1374"/>
      <c r="AC30" s="1374"/>
      <c r="AD30" s="1374"/>
      <c r="AJ30" s="1639">
        <v>73</v>
      </c>
    </row>
    <row s="1374" customFormat="1" customHeight="1" ht="24">
      <c r="A31" s="995"/>
      <c r="C31" s="1644"/>
      <c r="D31" s="1646"/>
      <c r="E31" s="1672" t="s">
        <v>90</v>
      </c>
      <c r="F31" s="1669" t="s">
        <v>826</v>
      </c>
      <c r="G31" s="1662" t="s">
        <v>569</v>
      </c>
      <c r="H31" s="565"/>
      <c r="I31" s="565"/>
      <c r="J31" s="565"/>
      <c r="K31" s="565"/>
      <c r="L31" s="565"/>
      <c r="M31" s="565"/>
      <c r="N31" s="297"/>
      <c r="O31" s="551"/>
      <c r="P31" s="1644"/>
      <c r="Q31" s="1644"/>
      <c r="V31" s="1644"/>
      <c r="Y31" s="552"/>
      <c r="AE31" s="1640"/>
      <c r="AF31" s="1640"/>
      <c r="AG31" s="1640"/>
      <c r="AH31" s="1640"/>
      <c r="AI31" s="1640"/>
      <c r="AJ31" s="1168">
        <v>23</v>
      </c>
    </row>
    <row s="1374" customFormat="1" customHeight="1" ht="35.699999999999996">
      <c r="A32" s="995"/>
      <c r="C32" s="1644"/>
      <c r="D32" s="583"/>
      <c r="E32" s="1672" t="s">
        <v>91</v>
      </c>
      <c r="F32" s="1669" t="s">
        <v>827</v>
      </c>
      <c r="G32" s="1662" t="s">
        <v>569</v>
      </c>
      <c r="H32" s="565"/>
      <c r="I32" s="565"/>
      <c r="J32" s="565"/>
      <c r="K32" s="565"/>
      <c r="L32" s="565"/>
      <c r="M32" s="565"/>
      <c r="N32" s="297" t="s">
        <v>828</v>
      </c>
      <c r="O32" s="551"/>
      <c r="P32" s="1644"/>
      <c r="Q32" s="1644"/>
      <c r="V32" s="1644"/>
      <c r="Y32" s="552"/>
      <c r="AE32" s="1640"/>
      <c r="AF32" s="1640"/>
      <c r="AG32" s="1640"/>
      <c r="AH32" s="1640"/>
      <c r="AI32" s="1640"/>
      <c r="AJ32" s="1168">
        <v>34</v>
      </c>
    </row>
    <row s="1374" customFormat="1" customHeight="1" ht="24">
      <c r="A33" s="995"/>
      <c r="C33" s="1644"/>
      <c r="D33" s="1646"/>
      <c r="E33" s="1672" t="s">
        <v>786</v>
      </c>
      <c r="F33" s="698" t="s">
        <v>790</v>
      </c>
      <c r="G33" s="1662" t="s">
        <v>569</v>
      </c>
      <c r="H33" s="565"/>
      <c r="I33" s="565"/>
      <c r="J33" s="565"/>
      <c r="K33" s="565"/>
      <c r="L33" s="565"/>
      <c r="M33" s="565"/>
      <c r="N33" s="297" t="s">
        <v>829</v>
      </c>
      <c r="O33" s="551"/>
      <c r="P33" s="1644"/>
      <c r="Q33" s="1644"/>
      <c r="V33" s="1644"/>
      <c r="Y33" s="552"/>
      <c r="AE33" s="1640"/>
      <c r="AF33" s="1640"/>
      <c r="AG33" s="1640"/>
      <c r="AH33" s="1640"/>
      <c r="AI33" s="1640"/>
      <c r="AJ33" s="1168">
        <v>23</v>
      </c>
    </row>
    <row s="1374" customFormat="1" customHeight="1" ht="24">
      <c r="A34" s="995"/>
      <c r="C34" s="1644"/>
      <c r="D34" s="1646"/>
      <c r="E34" s="1672" t="s">
        <v>830</v>
      </c>
      <c r="F34" s="698" t="s">
        <v>831</v>
      </c>
      <c r="G34" s="1662" t="s">
        <v>569</v>
      </c>
      <c r="H34" s="565"/>
      <c r="I34" s="565"/>
      <c r="J34" s="565"/>
      <c r="K34" s="565"/>
      <c r="L34" s="565"/>
      <c r="M34" s="565"/>
      <c r="N34" s="297" t="s">
        <v>832</v>
      </c>
      <c r="O34" s="551"/>
      <c r="P34" s="1644"/>
      <c r="Q34" s="1644"/>
      <c r="V34" s="1644"/>
      <c r="Y34" s="552"/>
      <c r="AE34" s="1640"/>
      <c r="AF34" s="1640"/>
      <c r="AG34" s="1640"/>
      <c r="AH34" s="1640"/>
      <c r="AI34" s="1640"/>
      <c r="AJ34" s="1168">
        <v>23</v>
      </c>
    </row>
    <row s="1374" customFormat="1" customHeight="1" ht="24">
      <c r="A35" s="995"/>
      <c r="C35" s="1644"/>
      <c r="D35" s="1646"/>
      <c r="E35" s="1672" t="s">
        <v>833</v>
      </c>
      <c r="F35" s="698" t="s">
        <v>796</v>
      </c>
      <c r="G35" s="1662" t="s">
        <v>569</v>
      </c>
      <c r="H35" s="565"/>
      <c r="I35" s="565"/>
      <c r="J35" s="565"/>
      <c r="K35" s="565"/>
      <c r="L35" s="565"/>
      <c r="M35" s="565"/>
      <c r="N35" s="297" t="s">
        <v>834</v>
      </c>
      <c r="O35" s="551"/>
      <c r="P35" s="1644"/>
      <c r="Q35" s="1644"/>
      <c r="V35" s="1644"/>
      <c r="Y35" s="552"/>
      <c r="AE35" s="1640"/>
      <c r="AF35" s="1640"/>
      <c r="AG35" s="1640"/>
      <c r="AH35" s="1640"/>
      <c r="AI35" s="1640"/>
      <c r="AJ35" s="1168">
        <v>23</v>
      </c>
    </row>
    <row s="1374" customFormat="1" customHeight="1" ht="35.699999999999996">
      <c r="A36" s="995"/>
      <c r="C36" s="1644" t="s">
        <v>597</v>
      </c>
      <c r="D36" s="1646"/>
      <c r="E36" s="1672" t="s">
        <v>119</v>
      </c>
      <c r="F36" s="1669" t="s">
        <v>650</v>
      </c>
      <c r="G36" s="1665" t="s">
        <v>323</v>
      </c>
      <c r="H36" s="409"/>
      <c r="I36" s="409"/>
      <c r="J36" s="826"/>
      <c r="K36" s="826"/>
      <c r="L36" s="826"/>
      <c r="M36" s="826"/>
      <c r="N36" s="297" t="s">
        <v>835</v>
      </c>
      <c r="O36" s="551"/>
      <c r="P36" s="1644"/>
      <c r="Q36" s="1644"/>
      <c r="V36" s="1644"/>
      <c r="Y36" s="552"/>
      <c r="AE36" s="1640"/>
      <c r="AF36" s="1640"/>
      <c r="AG36" s="1640"/>
      <c r="AH36" s="1640"/>
      <c r="AI36" s="1640"/>
      <c r="AJ36" s="1168">
        <v>34</v>
      </c>
    </row>
    <row s="1374" customFormat="1" customHeight="1" ht="35.699999999999996">
      <c r="A37" s="995"/>
      <c r="C37" s="1644"/>
      <c r="D37" s="1646"/>
      <c r="E37" s="1672" t="s">
        <v>92</v>
      </c>
      <c r="F37" s="1669" t="s">
        <v>836</v>
      </c>
      <c r="G37" s="1662" t="s">
        <v>801</v>
      </c>
      <c r="H37" s="2090"/>
      <c r="I37" s="2090"/>
      <c r="J37" s="2090"/>
      <c r="K37" s="2090"/>
      <c r="L37" s="2090"/>
      <c r="M37" s="2090"/>
      <c r="N37" s="297" t="s">
        <v>802</v>
      </c>
      <c r="O37" s="551"/>
      <c r="P37" s="1644"/>
      <c r="Q37" s="1644"/>
      <c r="V37" s="1644"/>
      <c r="Y37" s="552"/>
      <c r="AE37" s="1640"/>
      <c r="AF37" s="1640"/>
      <c r="AG37" s="1640"/>
      <c r="AH37" s="1640"/>
      <c r="AI37" s="1640"/>
      <c r="AJ37" s="1168">
        <v>34</v>
      </c>
    </row>
    <row s="1374" customFormat="1" customHeight="1" ht="33.75">
      <c r="A38" s="995"/>
      <c r="C38" s="1644"/>
      <c r="D38" s="2083"/>
      <c r="E38" s="1672" t="s">
        <v>674</v>
      </c>
      <c r="F38" s="2091" t="s">
        <v>837</v>
      </c>
      <c r="G38" s="2082" t="s">
        <v>801</v>
      </c>
      <c r="H38" s="553"/>
      <c r="I38" s="553"/>
      <c r="J38" s="553"/>
      <c r="K38" s="553"/>
      <c r="L38" s="553"/>
      <c r="M38" s="553"/>
      <c r="N38" s="2089" t="s">
        <v>838</v>
      </c>
      <c r="O38" s="551"/>
      <c r="P38" s="1644"/>
      <c r="Q38" s="1644"/>
      <c r="V38" s="1644"/>
      <c r="Y38" s="552"/>
      <c r="AE38" s="1640"/>
      <c r="AF38" s="1640"/>
      <c r="AG38" s="1640"/>
      <c r="AH38" s="1640"/>
      <c r="AI38" s="1640"/>
    </row>
    <row s="1374" customFormat="1" customHeight="1" ht="33.75">
      <c r="A39" s="995"/>
      <c r="C39" s="1644"/>
      <c r="D39" s="2083"/>
      <c r="E39" s="1672" t="s">
        <v>678</v>
      </c>
      <c r="F39" s="2091" t="s">
        <v>839</v>
      </c>
      <c r="G39" s="2082" t="s">
        <v>801</v>
      </c>
      <c r="H39" s="553"/>
      <c r="I39" s="553"/>
      <c r="J39" s="553"/>
      <c r="K39" s="553"/>
      <c r="L39" s="553"/>
      <c r="M39" s="553"/>
      <c r="N39" s="2089" t="s">
        <v>840</v>
      </c>
      <c r="O39" s="551"/>
      <c r="P39" s="1644"/>
      <c r="Q39" s="1644"/>
      <c r="V39" s="1644"/>
      <c r="Y39" s="552"/>
      <c r="AE39" s="1640"/>
      <c r="AF39" s="1640"/>
      <c r="AG39" s="1640"/>
      <c r="AH39" s="1640"/>
      <c r="AI39" s="1640"/>
    </row>
    <row s="1374" customFormat="1" customHeight="1" ht="24">
      <c r="A40" s="995"/>
      <c r="C40" s="1644"/>
      <c r="D40" s="1646"/>
      <c r="E40" s="1672" t="s">
        <v>93</v>
      </c>
      <c r="F40" s="1669" t="s">
        <v>841</v>
      </c>
      <c r="G40" s="1662" t="s">
        <v>804</v>
      </c>
      <c r="H40" s="2090"/>
      <c r="I40" s="2090"/>
      <c r="J40" s="2090"/>
      <c r="K40" s="2090"/>
      <c r="L40" s="2090"/>
      <c r="M40" s="2090"/>
      <c r="N40" s="297" t="s">
        <v>805</v>
      </c>
      <c r="O40" s="551"/>
      <c r="P40" s="1644"/>
      <c r="Q40" s="1644"/>
      <c r="V40" s="1644"/>
      <c r="Y40" s="552"/>
      <c r="AE40" s="1640"/>
      <c r="AF40" s="1640"/>
      <c r="AG40" s="1640"/>
      <c r="AH40" s="1640"/>
      <c r="AI40" s="1640"/>
      <c r="AJ40" s="1168">
        <v>23</v>
      </c>
    </row>
    <row s="1374" customFormat="1" customHeight="1" ht="24">
      <c r="A41" s="995"/>
      <c r="C41" s="1644"/>
      <c r="D41" s="2083"/>
      <c r="E41" s="1672" t="s">
        <v>842</v>
      </c>
      <c r="F41" s="2091" t="s">
        <v>843</v>
      </c>
      <c r="G41" s="2082" t="s">
        <v>804</v>
      </c>
      <c r="H41" s="553"/>
      <c r="I41" s="553"/>
      <c r="J41" s="553"/>
      <c r="K41" s="553"/>
      <c r="L41" s="553"/>
      <c r="M41" s="553"/>
      <c r="N41" s="2089" t="s">
        <v>844</v>
      </c>
      <c r="O41" s="551"/>
      <c r="P41" s="1644"/>
      <c r="Q41" s="1644"/>
      <c r="V41" s="1644"/>
      <c r="Y41" s="552"/>
      <c r="AE41" s="1640"/>
      <c r="AF41" s="1640"/>
      <c r="AG41" s="1640"/>
      <c r="AH41" s="1640"/>
      <c r="AI41" s="1640"/>
      <c r="AJ41" s="1374">
        <v>23</v>
      </c>
    </row>
    <row s="1374" customFormat="1" customHeight="1" ht="24">
      <c r="A42" s="995"/>
      <c r="C42" s="1644"/>
      <c r="D42" s="2083"/>
      <c r="E42" s="1672" t="s">
        <v>845</v>
      </c>
      <c r="F42" s="2091" t="s">
        <v>846</v>
      </c>
      <c r="G42" s="2082" t="s">
        <v>804</v>
      </c>
      <c r="H42" s="553"/>
      <c r="I42" s="553"/>
      <c r="J42" s="553"/>
      <c r="K42" s="553"/>
      <c r="L42" s="553"/>
      <c r="M42" s="553"/>
      <c r="N42" s="2089" t="s">
        <v>847</v>
      </c>
      <c r="O42" s="551"/>
      <c r="P42" s="1644"/>
      <c r="Q42" s="1644"/>
      <c r="V42" s="1644"/>
      <c r="Y42" s="552"/>
      <c r="AE42" s="1640"/>
      <c r="AF42" s="1640"/>
      <c r="AG42" s="1640"/>
      <c r="AH42" s="1640"/>
      <c r="AI42" s="1640"/>
      <c r="AJ42" s="1374">
        <v>23</v>
      </c>
    </row>
    <row customHeight="1" ht="11.549999999999999">
      <c r="D43" s="1646"/>
      <c r="J43" s="1643"/>
      <c r="K43" s="1643"/>
      <c r="L43" s="1643"/>
      <c r="M43" s="1643"/>
      <c r="AJ43" s="1639">
        <v>11</v>
      </c>
    </row>
    <row customHeight="1" ht="27.299999999999997">
      <c r="D44" s="1646"/>
      <c r="E44" s="1261" t="s">
        <v>848</v>
      </c>
      <c r="F44" s="2306" t="s">
        <v>849</v>
      </c>
      <c r="G44" s="2306"/>
      <c r="H44" s="377"/>
      <c r="I44" s="377"/>
      <c r="J44" s="1694"/>
      <c r="K44" s="1694"/>
      <c r="L44" s="1694"/>
      <c r="M44" s="1694"/>
      <c r="N44" s="377"/>
      <c r="AJ44" s="1639">
        <v>26</v>
      </c>
    </row>
    <row s="1649" customFormat="1" customHeight="1" ht="39.75">
      <c r="A45" s="995"/>
      <c r="B45" s="1644"/>
      <c r="C45" s="1644"/>
      <c r="D45" s="359"/>
      <c r="F45" s="2306" t="s">
        <v>850</v>
      </c>
      <c r="G45" s="2306"/>
      <c r="H45" s="377"/>
      <c r="I45" s="377"/>
      <c r="J45" s="1694"/>
      <c r="K45" s="1694"/>
      <c r="L45" s="1694"/>
      <c r="M45" s="1694"/>
      <c r="N45" s="377"/>
      <c r="O45" s="1168"/>
      <c r="P45" s="1644"/>
      <c r="Q45" s="1644"/>
      <c r="R45" s="1168"/>
      <c r="S45" s="1168"/>
      <c r="T45" s="1168"/>
      <c r="U45" s="1168"/>
      <c r="V45" s="1644"/>
      <c r="W45" s="1168"/>
      <c r="X45" s="1168"/>
      <c r="Y45" s="552"/>
      <c r="Z45" s="1168"/>
      <c r="AA45" s="1168"/>
      <c r="AB45" s="1168"/>
      <c r="AC45" s="1168"/>
      <c r="AD45" s="1168"/>
      <c r="AE45" s="1640"/>
      <c r="AF45" s="574"/>
      <c r="AG45" s="574"/>
      <c r="AH45" s="574"/>
      <c r="AI45" s="574"/>
      <c r="AJ45" s="1649">
        <v>38</v>
      </c>
    </row>
    <row s="1649" customFormat="1" customHeight="1" ht="11.549999999999999">
      <c r="A46" s="995"/>
      <c r="B46" s="1644"/>
      <c r="C46" s="1644"/>
      <c r="D46" s="359"/>
      <c r="J46" s="1649"/>
      <c r="K46" s="1649"/>
      <c r="L46" s="1649"/>
      <c r="M46" s="1649"/>
      <c r="O46" s="1168"/>
      <c r="P46" s="1644"/>
      <c r="Q46" s="1644"/>
      <c r="R46" s="1168"/>
      <c r="S46" s="1168"/>
      <c r="T46" s="1168"/>
      <c r="U46" s="1168"/>
      <c r="V46" s="1644"/>
      <c r="W46" s="1168"/>
      <c r="X46" s="1168"/>
      <c r="Y46" s="552"/>
      <c r="Z46" s="1168"/>
      <c r="AA46" s="1168"/>
      <c r="AB46" s="1168"/>
      <c r="AC46" s="1168"/>
      <c r="AD46" s="1168"/>
      <c r="AE46" s="1640"/>
      <c r="AF46" s="574"/>
      <c r="AG46" s="574"/>
      <c r="AH46" s="574"/>
      <c r="AI46" s="574"/>
      <c r="AJ46" s="1649">
        <v>11</v>
      </c>
    </row>
    <row s="1649" customFormat="1" customHeight="1" ht="11.549999999999999">
      <c r="A47" s="995"/>
      <c r="B47" s="1644"/>
      <c r="C47" s="1644"/>
      <c r="D47" s="359"/>
      <c r="J47" s="1649"/>
      <c r="K47" s="1649"/>
      <c r="L47" s="1649"/>
      <c r="M47" s="1649"/>
      <c r="O47" s="1168"/>
      <c r="P47" s="1644"/>
      <c r="Q47" s="1644"/>
      <c r="R47" s="1168"/>
      <c r="S47" s="1168"/>
      <c r="T47" s="1168"/>
      <c r="U47" s="1168"/>
      <c r="V47" s="1644"/>
      <c r="W47" s="1168"/>
      <c r="X47" s="1168"/>
      <c r="Y47" s="552"/>
      <c r="Z47" s="1168"/>
      <c r="AA47" s="1168"/>
      <c r="AB47" s="1168"/>
      <c r="AC47" s="1168"/>
      <c r="AD47" s="1168"/>
      <c r="AE47" s="1640"/>
      <c r="AF47" s="574"/>
      <c r="AG47" s="574"/>
      <c r="AH47" s="574"/>
      <c r="AI47" s="574"/>
      <c r="AJ47" s="1649">
        <v>11</v>
      </c>
    </row>
    <row s="1649" customFormat="1" customHeight="1" ht="11.549999999999999">
      <c r="A48" s="995"/>
      <c r="B48" s="1644"/>
      <c r="C48" s="1644"/>
      <c r="D48" s="359"/>
      <c r="H48" s="574"/>
      <c r="I48" s="574"/>
      <c r="J48" s="630"/>
      <c r="K48" s="630"/>
      <c r="L48" s="630"/>
      <c r="M48" s="630"/>
      <c r="O48" s="1168"/>
      <c r="P48" s="1644"/>
      <c r="Q48" s="1644"/>
      <c r="R48" s="1168"/>
      <c r="S48" s="1168"/>
      <c r="T48" s="1168"/>
      <c r="U48" s="1168"/>
      <c r="V48" s="1644"/>
      <c r="W48" s="1168"/>
      <c r="X48" s="1168"/>
      <c r="Y48" s="552"/>
      <c r="Z48" s="1168"/>
      <c r="AA48" s="1168"/>
      <c r="AB48" s="1168"/>
      <c r="AC48" s="1168"/>
      <c r="AD48" s="1168"/>
      <c r="AE48" s="1640"/>
      <c r="AF48" s="574"/>
      <c r="AG48" s="574"/>
      <c r="AH48" s="574"/>
      <c r="AI48" s="574"/>
      <c r="AJ48" s="1649">
        <v>11</v>
      </c>
    </row>
    <row s="1649" customFormat="1" customHeight="1" ht="11.549999999999999">
      <c r="A49" s="995"/>
      <c r="B49" s="1644"/>
      <c r="C49" s="1644"/>
      <c r="D49" s="359"/>
      <c r="J49" s="1649"/>
      <c r="K49" s="1649"/>
      <c r="L49" s="1649"/>
      <c r="M49" s="1649"/>
      <c r="O49" s="1168"/>
      <c r="P49" s="1644"/>
      <c r="Q49" s="1644"/>
      <c r="R49" s="1168"/>
      <c r="S49" s="1168"/>
      <c r="T49" s="1168"/>
      <c r="U49" s="1168"/>
      <c r="V49" s="1644"/>
      <c r="W49" s="1168"/>
      <c r="X49" s="1168"/>
      <c r="Y49" s="552"/>
      <c r="Z49" s="1168"/>
      <c r="AA49" s="1168"/>
      <c r="AB49" s="1168"/>
      <c r="AC49" s="1168"/>
      <c r="AD49" s="1168"/>
      <c r="AE49" s="1640"/>
      <c r="AF49" s="574"/>
      <c r="AG49" s="574"/>
      <c r="AH49" s="574"/>
      <c r="AI49" s="574"/>
      <c r="AJ49" s="1649">
        <v>11</v>
      </c>
    </row>
    <row s="1649" customFormat="1" customHeight="1" ht="11.549999999999999">
      <c r="A50" s="995"/>
      <c r="B50" s="1644"/>
      <c r="C50" s="1644"/>
      <c r="D50" s="359"/>
      <c r="J50" s="1649"/>
      <c r="K50" s="1649"/>
      <c r="L50" s="1649"/>
      <c r="M50" s="1649"/>
      <c r="O50" s="1168"/>
      <c r="P50" s="1644"/>
      <c r="Q50" s="1644"/>
      <c r="R50" s="1168"/>
      <c r="S50" s="1168"/>
      <c r="T50" s="1168"/>
      <c r="U50" s="1168"/>
      <c r="V50" s="1644"/>
      <c r="W50" s="1168"/>
      <c r="X50" s="1168"/>
      <c r="Y50" s="552"/>
      <c r="Z50" s="1168"/>
      <c r="AA50" s="1168"/>
      <c r="AB50" s="1168"/>
      <c r="AC50" s="1168"/>
      <c r="AD50" s="1168"/>
      <c r="AE50" s="1640"/>
      <c r="AF50" s="574"/>
      <c r="AG50" s="574"/>
      <c r="AH50" s="574"/>
      <c r="AI50" s="574"/>
      <c r="AJ50" s="1649">
        <v>11</v>
      </c>
    </row>
    <row s="1649" customFormat="1" customHeight="1" ht="11.549999999999999">
      <c r="A51" s="995"/>
      <c r="B51" s="1644"/>
      <c r="C51" s="1644"/>
      <c r="D51" s="359"/>
      <c r="J51" s="1649"/>
      <c r="K51" s="1649"/>
      <c r="L51" s="1649"/>
      <c r="M51" s="1649"/>
      <c r="O51" s="1168"/>
      <c r="P51" s="1644"/>
      <c r="Q51" s="1644"/>
      <c r="R51" s="1168"/>
      <c r="S51" s="1168"/>
      <c r="T51" s="1168"/>
      <c r="U51" s="1168"/>
      <c r="V51" s="1644"/>
      <c r="W51" s="1168"/>
      <c r="X51" s="1168"/>
      <c r="Y51" s="552"/>
      <c r="Z51" s="1168"/>
      <c r="AA51" s="1168"/>
      <c r="AB51" s="1168"/>
      <c r="AC51" s="1168"/>
      <c r="AD51" s="1168"/>
      <c r="AE51" s="1640"/>
      <c r="AF51" s="574"/>
      <c r="AG51" s="574"/>
      <c r="AH51" s="574"/>
      <c r="AI51" s="574"/>
      <c r="AJ51" s="1649">
        <v>11</v>
      </c>
    </row>
    <row s="1649" customFormat="1" customHeight="1" ht="11.549999999999999">
      <c r="A52" s="995"/>
      <c r="B52" s="1644"/>
      <c r="C52" s="1644"/>
      <c r="D52" s="359"/>
      <c r="J52" s="1649"/>
      <c r="K52" s="1649"/>
      <c r="L52" s="1649"/>
      <c r="M52" s="1649"/>
      <c r="O52" s="1168"/>
      <c r="P52" s="1644"/>
      <c r="Q52" s="1644"/>
      <c r="R52" s="1168"/>
      <c r="S52" s="1168"/>
      <c r="T52" s="1168"/>
      <c r="U52" s="1168"/>
      <c r="V52" s="1644"/>
      <c r="W52" s="1168"/>
      <c r="X52" s="1168"/>
      <c r="Y52" s="552"/>
      <c r="Z52" s="1168"/>
      <c r="AA52" s="1168"/>
      <c r="AB52" s="1168"/>
      <c r="AC52" s="1168"/>
      <c r="AD52" s="1168"/>
      <c r="AE52" s="1640"/>
      <c r="AF52" s="574"/>
      <c r="AG52" s="574"/>
      <c r="AH52" s="574"/>
      <c r="AI52" s="574"/>
      <c r="AJ52" s="1649">
        <v>11</v>
      </c>
    </row>
    <row s="1649" customFormat="1" customHeight="1" ht="11.549999999999999">
      <c r="A53" s="995"/>
      <c r="B53" s="1644"/>
      <c r="C53" s="1644"/>
      <c r="D53" s="359"/>
      <c r="J53" s="1649"/>
      <c r="K53" s="1649"/>
      <c r="L53" s="1649"/>
      <c r="M53" s="1649"/>
      <c r="O53" s="1168"/>
      <c r="P53" s="1644"/>
      <c r="Q53" s="1644"/>
      <c r="R53" s="1168"/>
      <c r="S53" s="1168"/>
      <c r="T53" s="1168"/>
      <c r="U53" s="1168"/>
      <c r="V53" s="1644"/>
      <c r="W53" s="1168"/>
      <c r="X53" s="1168"/>
      <c r="Y53" s="552"/>
      <c r="Z53" s="1168"/>
      <c r="AA53" s="1168"/>
      <c r="AB53" s="1168"/>
      <c r="AC53" s="1168"/>
      <c r="AD53" s="1168"/>
      <c r="AE53" s="1640"/>
      <c r="AF53" s="574"/>
      <c r="AG53" s="574"/>
      <c r="AH53" s="574"/>
      <c r="AI53" s="574"/>
      <c r="AJ53" s="1649">
        <v>11</v>
      </c>
    </row>
    <row s="1649" customFormat="1" customHeight="1" ht="11.549999999999999">
      <c r="A54" s="995"/>
      <c r="B54" s="1644"/>
      <c r="C54" s="1644"/>
      <c r="D54" s="359"/>
      <c r="J54" s="1649"/>
      <c r="K54" s="1649"/>
      <c r="L54" s="1649"/>
      <c r="M54" s="1649"/>
      <c r="O54" s="1168"/>
      <c r="P54" s="1644"/>
      <c r="Q54" s="1644"/>
      <c r="R54" s="1168"/>
      <c r="S54" s="1168"/>
      <c r="T54" s="1168"/>
      <c r="U54" s="1168"/>
      <c r="V54" s="1644"/>
      <c r="W54" s="1168"/>
      <c r="X54" s="1168"/>
      <c r="Y54" s="552"/>
      <c r="Z54" s="1168"/>
      <c r="AA54" s="1168"/>
      <c r="AB54" s="1168"/>
      <c r="AC54" s="1168"/>
      <c r="AD54" s="1168"/>
      <c r="AE54" s="1640"/>
      <c r="AF54" s="574"/>
      <c r="AG54" s="574"/>
      <c r="AH54" s="574"/>
      <c r="AI54" s="574"/>
      <c r="AJ54" s="1649">
        <v>11</v>
      </c>
    </row>
    <row s="1649" customFormat="1" customHeight="1" ht="11.549999999999999">
      <c r="A55" s="995"/>
      <c r="B55" s="1644"/>
      <c r="C55" s="1644"/>
      <c r="D55" s="359"/>
      <c r="J55" s="1649"/>
      <c r="K55" s="1649"/>
      <c r="L55" s="1649"/>
      <c r="M55" s="1649"/>
      <c r="O55" s="1168"/>
      <c r="P55" s="1644"/>
      <c r="Q55" s="1644"/>
      <c r="R55" s="1168"/>
      <c r="S55" s="1168"/>
      <c r="T55" s="1168"/>
      <c r="U55" s="1168"/>
      <c r="V55" s="1644"/>
      <c r="W55" s="1168"/>
      <c r="X55" s="1168"/>
      <c r="Y55" s="552"/>
      <c r="Z55" s="1168"/>
      <c r="AA55" s="1168"/>
      <c r="AB55" s="1168"/>
      <c r="AC55" s="1168"/>
      <c r="AD55" s="1168"/>
      <c r="AE55" s="1640"/>
      <c r="AF55" s="574"/>
      <c r="AG55" s="574"/>
      <c r="AH55" s="574"/>
      <c r="AI55" s="574"/>
      <c r="AJ55" s="1649">
        <v>11</v>
      </c>
    </row>
    <row s="1649" customFormat="1" customHeight="1" ht="11.549999999999999">
      <c r="A56" s="995"/>
      <c r="B56" s="1644"/>
      <c r="C56" s="1644"/>
      <c r="D56" s="359"/>
      <c r="J56" s="1649"/>
      <c r="K56" s="1649"/>
      <c r="L56" s="1649"/>
      <c r="M56" s="1649"/>
      <c r="O56" s="1168"/>
      <c r="P56" s="1644"/>
      <c r="Q56" s="1644"/>
      <c r="R56" s="1168"/>
      <c r="S56" s="1168"/>
      <c r="T56" s="1168"/>
      <c r="U56" s="1168"/>
      <c r="V56" s="1644"/>
      <c r="W56" s="1168"/>
      <c r="X56" s="1168"/>
      <c r="Y56" s="552"/>
      <c r="Z56" s="1168"/>
      <c r="AA56" s="1168"/>
      <c r="AB56" s="1168"/>
      <c r="AC56" s="1168"/>
      <c r="AD56" s="1168"/>
      <c r="AE56" s="1640"/>
      <c r="AF56" s="574"/>
      <c r="AG56" s="574"/>
      <c r="AH56" s="574"/>
      <c r="AI56" s="574"/>
      <c r="AJ56" s="1649">
        <v>11</v>
      </c>
    </row>
    <row s="1649" customFormat="1" customHeight="1" ht="11.549999999999999">
      <c r="A57" s="995"/>
      <c r="B57" s="1644"/>
      <c r="C57" s="1644"/>
      <c r="D57" s="359"/>
      <c r="J57" s="1649"/>
      <c r="K57" s="1649"/>
      <c r="L57" s="1649"/>
      <c r="M57" s="1649"/>
      <c r="O57" s="1168"/>
      <c r="P57" s="1644"/>
      <c r="Q57" s="1644"/>
      <c r="R57" s="1168"/>
      <c r="S57" s="1168"/>
      <c r="T57" s="1168"/>
      <c r="U57" s="1168"/>
      <c r="V57" s="1644"/>
      <c r="W57" s="1168"/>
      <c r="X57" s="1168"/>
      <c r="Y57" s="552"/>
      <c r="Z57" s="1168"/>
      <c r="AA57" s="1168"/>
      <c r="AB57" s="1168"/>
      <c r="AC57" s="1168"/>
      <c r="AD57" s="1168"/>
      <c r="AE57" s="1640"/>
      <c r="AF57" s="574"/>
      <c r="AG57" s="574"/>
      <c r="AH57" s="574"/>
      <c r="AI57" s="574"/>
      <c r="AJ57" s="1649">
        <v>11</v>
      </c>
    </row>
    <row s="1649" customFormat="1" customHeight="1" ht="11.549999999999999">
      <c r="A58" s="995"/>
      <c r="B58" s="1644"/>
      <c r="C58" s="1644"/>
      <c r="D58" s="359"/>
      <c r="J58" s="1649"/>
      <c r="K58" s="1649"/>
      <c r="L58" s="1649"/>
      <c r="M58" s="1649"/>
      <c r="O58" s="1168"/>
      <c r="P58" s="1644"/>
      <c r="Q58" s="1644"/>
      <c r="R58" s="1168"/>
      <c r="S58" s="1168"/>
      <c r="T58" s="1168"/>
      <c r="U58" s="1168"/>
      <c r="V58" s="1644"/>
      <c r="W58" s="1168"/>
      <c r="X58" s="1168"/>
      <c r="Y58" s="552"/>
      <c r="Z58" s="1168"/>
      <c r="AA58" s="1168"/>
      <c r="AB58" s="1168"/>
      <c r="AC58" s="1168"/>
      <c r="AD58" s="1168"/>
      <c r="AE58" s="1640"/>
      <c r="AF58" s="574"/>
      <c r="AG58" s="574"/>
      <c r="AH58" s="574"/>
      <c r="AI58" s="574"/>
      <c r="AJ58" s="1649">
        <v>11</v>
      </c>
    </row>
    <row s="1649" customFormat="1" customHeight="1" ht="11.549999999999999">
      <c r="A59" s="995"/>
      <c r="B59" s="1644"/>
      <c r="C59" s="1644"/>
      <c r="D59" s="359"/>
      <c r="J59" s="1649"/>
      <c r="K59" s="1649"/>
      <c r="L59" s="1649"/>
      <c r="M59" s="1649"/>
      <c r="O59" s="1168"/>
      <c r="P59" s="1644"/>
      <c r="Q59" s="1644"/>
      <c r="R59" s="1168"/>
      <c r="S59" s="1168"/>
      <c r="T59" s="1168"/>
      <c r="U59" s="1168"/>
      <c r="V59" s="1644"/>
      <c r="W59" s="1168"/>
      <c r="X59" s="1168"/>
      <c r="Y59" s="552"/>
      <c r="Z59" s="1168"/>
      <c r="AA59" s="1168"/>
      <c r="AB59" s="1168"/>
      <c r="AC59" s="1168"/>
      <c r="AD59" s="1168"/>
      <c r="AE59" s="1640"/>
      <c r="AF59" s="574"/>
      <c r="AG59" s="574"/>
      <c r="AH59" s="574"/>
      <c r="AI59" s="574"/>
      <c r="AJ59" s="1649">
        <v>11</v>
      </c>
    </row>
    <row s="1649" customFormat="1" customHeight="1" ht="11.549999999999999">
      <c r="A60" s="995"/>
      <c r="B60" s="1644"/>
      <c r="C60" s="1644"/>
      <c r="D60" s="359"/>
      <c r="J60" s="1649"/>
      <c r="K60" s="1649"/>
      <c r="L60" s="1649"/>
      <c r="M60" s="1649"/>
      <c r="O60" s="1168"/>
      <c r="P60" s="1644"/>
      <c r="Q60" s="1644"/>
      <c r="R60" s="1168"/>
      <c r="S60" s="1168"/>
      <c r="T60" s="1168"/>
      <c r="U60" s="1168"/>
      <c r="V60" s="1644"/>
      <c r="W60" s="1168"/>
      <c r="X60" s="1168"/>
      <c r="Y60" s="552"/>
      <c r="Z60" s="1168"/>
      <c r="AA60" s="1168"/>
      <c r="AB60" s="1168"/>
      <c r="AC60" s="1168"/>
      <c r="AD60" s="1168"/>
      <c r="AE60" s="1640"/>
      <c r="AF60" s="574"/>
      <c r="AG60" s="574"/>
      <c r="AH60" s="574"/>
      <c r="AI60" s="574"/>
      <c r="AJ60" s="1649">
        <v>11</v>
      </c>
    </row>
    <row s="1649" customFormat="1" customHeight="1" ht="11.549999999999999">
      <c r="A61" s="995"/>
      <c r="B61" s="1644"/>
      <c r="C61" s="1644"/>
      <c r="D61" s="359"/>
      <c r="J61" s="1649"/>
      <c r="K61" s="1649"/>
      <c r="L61" s="1649"/>
      <c r="M61" s="1649"/>
      <c r="O61" s="1168"/>
      <c r="P61" s="1644"/>
      <c r="Q61" s="1644"/>
      <c r="R61" s="1168"/>
      <c r="S61" s="1168"/>
      <c r="T61" s="1168"/>
      <c r="U61" s="1168"/>
      <c r="V61" s="1644"/>
      <c r="W61" s="1168"/>
      <c r="X61" s="1168"/>
      <c r="Y61" s="552"/>
      <c r="Z61" s="1168"/>
      <c r="AA61" s="1168"/>
      <c r="AB61" s="1168"/>
      <c r="AC61" s="1168"/>
      <c r="AD61" s="1168"/>
      <c r="AE61" s="1640"/>
      <c r="AF61" s="574"/>
      <c r="AG61" s="574"/>
      <c r="AH61" s="574"/>
      <c r="AI61" s="574"/>
      <c r="AJ61" s="1649">
        <v>11</v>
      </c>
    </row>
    <row s="1649" customFormat="1" customHeight="1" ht="11.549999999999999">
      <c r="A62" s="995"/>
      <c r="B62" s="1644"/>
      <c r="C62" s="1644"/>
      <c r="D62" s="359"/>
      <c r="J62" s="1649"/>
      <c r="K62" s="1649"/>
      <c r="L62" s="1649"/>
      <c r="M62" s="1649"/>
      <c r="O62" s="1168"/>
      <c r="P62" s="1644"/>
      <c r="Q62" s="1644"/>
      <c r="R62" s="1168"/>
      <c r="S62" s="1168"/>
      <c r="T62" s="1168"/>
      <c r="U62" s="1168"/>
      <c r="V62" s="1644"/>
      <c r="W62" s="1168"/>
      <c r="X62" s="1168"/>
      <c r="Y62" s="552"/>
      <c r="Z62" s="1168"/>
      <c r="AA62" s="1168"/>
      <c r="AB62" s="1168"/>
      <c r="AC62" s="1168"/>
      <c r="AD62" s="1168"/>
      <c r="AE62" s="1640"/>
      <c r="AF62" s="574"/>
      <c r="AG62" s="574"/>
      <c r="AH62" s="574"/>
      <c r="AI62" s="574"/>
      <c r="AJ62" s="1649">
        <v>11</v>
      </c>
    </row>
    <row s="1649" customFormat="1" customHeight="1" ht="11.549999999999999">
      <c r="A63" s="995"/>
      <c r="B63" s="1644"/>
      <c r="C63" s="1644"/>
      <c r="D63" s="359"/>
      <c r="J63" s="1649"/>
      <c r="K63" s="1649"/>
      <c r="L63" s="1649"/>
      <c r="M63" s="1649"/>
      <c r="O63" s="1168"/>
      <c r="P63" s="1644"/>
      <c r="Q63" s="1644"/>
      <c r="R63" s="1168"/>
      <c r="S63" s="1168"/>
      <c r="T63" s="1168"/>
      <c r="U63" s="1168"/>
      <c r="V63" s="1644"/>
      <c r="W63" s="1168"/>
      <c r="X63" s="1168"/>
      <c r="Y63" s="552"/>
      <c r="Z63" s="1168"/>
      <c r="AA63" s="1168"/>
      <c r="AB63" s="1168"/>
      <c r="AC63" s="1168"/>
      <c r="AD63" s="1168"/>
      <c r="AE63" s="1640"/>
      <c r="AF63" s="574"/>
      <c r="AG63" s="574"/>
      <c r="AH63" s="574"/>
      <c r="AI63" s="574"/>
      <c r="AJ63" s="1649">
        <v>11</v>
      </c>
    </row>
    <row s="1649" customFormat="1" customHeight="1" ht="11.549999999999999">
      <c r="A64" s="995"/>
      <c r="B64" s="1644"/>
      <c r="C64" s="1644"/>
      <c r="D64" s="359"/>
      <c r="J64" s="1649"/>
      <c r="K64" s="1649"/>
      <c r="L64" s="1649"/>
      <c r="M64" s="1649"/>
      <c r="O64" s="1168"/>
      <c r="P64" s="1644"/>
      <c r="Q64" s="1644"/>
      <c r="R64" s="1168"/>
      <c r="S64" s="1168"/>
      <c r="T64" s="1168"/>
      <c r="U64" s="1168"/>
      <c r="V64" s="1644"/>
      <c r="W64" s="1168"/>
      <c r="X64" s="1168"/>
      <c r="Y64" s="552"/>
      <c r="Z64" s="1168"/>
      <c r="AA64" s="1168"/>
      <c r="AB64" s="1168"/>
      <c r="AC64" s="1168"/>
      <c r="AD64" s="1168"/>
      <c r="AE64" s="1640"/>
      <c r="AF64" s="574"/>
      <c r="AG64" s="574"/>
      <c r="AH64" s="574"/>
      <c r="AI64" s="574"/>
      <c r="AJ64" s="1649">
        <v>11</v>
      </c>
    </row>
    <row s="1649" customFormat="1" customHeight="1" ht="11.549999999999999">
      <c r="A65" s="995"/>
      <c r="B65" s="1644"/>
      <c r="C65" s="1644"/>
      <c r="D65" s="359"/>
      <c r="J65" s="1649"/>
      <c r="K65" s="1649"/>
      <c r="L65" s="1649"/>
      <c r="M65" s="1649"/>
      <c r="O65" s="1168"/>
      <c r="P65" s="1644"/>
      <c r="Q65" s="1644"/>
      <c r="R65" s="1168"/>
      <c r="S65" s="1168"/>
      <c r="T65" s="1168"/>
      <c r="U65" s="1168"/>
      <c r="V65" s="1644"/>
      <c r="W65" s="1168"/>
      <c r="X65" s="1168"/>
      <c r="Y65" s="552"/>
      <c r="Z65" s="1168"/>
      <c r="AA65" s="1168"/>
      <c r="AB65" s="1168"/>
      <c r="AC65" s="1168"/>
      <c r="AD65" s="1168"/>
      <c r="AE65" s="1640"/>
      <c r="AF65" s="574"/>
      <c r="AG65" s="574"/>
      <c r="AH65" s="574"/>
      <c r="AI65" s="574"/>
      <c r="AJ65" s="1649">
        <v>11</v>
      </c>
    </row>
    <row s="1649" customFormat="1" customHeight="1" ht="11.549999999999999">
      <c r="A66" s="995"/>
      <c r="B66" s="1644"/>
      <c r="C66" s="1644"/>
      <c r="D66" s="359"/>
      <c r="J66" s="1649"/>
      <c r="K66" s="1649"/>
      <c r="L66" s="1649"/>
      <c r="M66" s="1649"/>
      <c r="O66" s="1168"/>
      <c r="P66" s="1644"/>
      <c r="Q66" s="1644"/>
      <c r="R66" s="1168"/>
      <c r="S66" s="1168"/>
      <c r="T66" s="1168"/>
      <c r="U66" s="1168"/>
      <c r="V66" s="1644"/>
      <c r="W66" s="1168"/>
      <c r="X66" s="1168"/>
      <c r="Y66" s="552"/>
      <c r="Z66" s="1168"/>
      <c r="AA66" s="1168"/>
      <c r="AB66" s="1168"/>
      <c r="AC66" s="1168"/>
      <c r="AD66" s="1168"/>
      <c r="AE66" s="1640"/>
      <c r="AF66" s="574"/>
      <c r="AG66" s="574"/>
      <c r="AH66" s="574"/>
      <c r="AI66" s="574"/>
      <c r="AJ66" s="1649">
        <v>11</v>
      </c>
    </row>
    <row s="1649" customFormat="1" customHeight="1" ht="11.549999999999999">
      <c r="A67" s="995"/>
      <c r="B67" s="1644"/>
      <c r="C67" s="1644"/>
      <c r="D67" s="359"/>
      <c r="J67" s="1649"/>
      <c r="K67" s="1649"/>
      <c r="L67" s="1649"/>
      <c r="M67" s="1649"/>
      <c r="O67" s="1168"/>
      <c r="P67" s="1644"/>
      <c r="Q67" s="1644"/>
      <c r="R67" s="1168"/>
      <c r="S67" s="1168"/>
      <c r="T67" s="1168"/>
      <c r="U67" s="1168"/>
      <c r="V67" s="1644"/>
      <c r="W67" s="1168"/>
      <c r="X67" s="1168"/>
      <c r="Y67" s="552"/>
      <c r="Z67" s="1168"/>
      <c r="AA67" s="1168"/>
      <c r="AB67" s="1168"/>
      <c r="AC67" s="1168"/>
      <c r="AD67" s="1168"/>
      <c r="AE67" s="1640"/>
      <c r="AF67" s="574"/>
      <c r="AG67" s="574"/>
      <c r="AH67" s="574"/>
      <c r="AI67" s="574"/>
      <c r="AJ67" s="1649">
        <v>11</v>
      </c>
    </row>
    <row s="1649" customFormat="1" customHeight="1" ht="11.549999999999999">
      <c r="A68" s="995"/>
      <c r="B68" s="1644"/>
      <c r="C68" s="1644"/>
      <c r="D68" s="359"/>
      <c r="J68" s="1649"/>
      <c r="K68" s="1649"/>
      <c r="L68" s="1649"/>
      <c r="M68" s="1649"/>
      <c r="O68" s="1168"/>
      <c r="P68" s="1644"/>
      <c r="Q68" s="1644"/>
      <c r="R68" s="1168"/>
      <c r="S68" s="1168"/>
      <c r="T68" s="1168"/>
      <c r="U68" s="1168"/>
      <c r="V68" s="1644"/>
      <c r="W68" s="1168"/>
      <c r="X68" s="1168"/>
      <c r="Y68" s="552"/>
      <c r="Z68" s="1168"/>
      <c r="AA68" s="1168"/>
      <c r="AB68" s="1168"/>
      <c r="AC68" s="1168"/>
      <c r="AD68" s="1168"/>
      <c r="AE68" s="1640"/>
      <c r="AF68" s="574"/>
      <c r="AG68" s="574"/>
      <c r="AH68" s="574"/>
      <c r="AI68" s="574"/>
      <c r="AJ68" s="1649">
        <v>11</v>
      </c>
    </row>
    <row s="1649" customFormat="1" customHeight="1" ht="11.549999999999999">
      <c r="A69" s="995"/>
      <c r="B69" s="1644"/>
      <c r="C69" s="1644"/>
      <c r="D69" s="359"/>
      <c r="J69" s="1649"/>
      <c r="K69" s="1649"/>
      <c r="L69" s="1649"/>
      <c r="M69" s="1649"/>
      <c r="O69" s="1168"/>
      <c r="P69" s="1644"/>
      <c r="Q69" s="1644"/>
      <c r="R69" s="1168"/>
      <c r="S69" s="1168"/>
      <c r="T69" s="1168"/>
      <c r="U69" s="1168"/>
      <c r="V69" s="1644"/>
      <c r="W69" s="1168"/>
      <c r="X69" s="1168"/>
      <c r="Y69" s="552"/>
      <c r="Z69" s="1168"/>
      <c r="AA69" s="1168"/>
      <c r="AB69" s="1168"/>
      <c r="AC69" s="1168"/>
      <c r="AD69" s="1168"/>
      <c r="AE69" s="1640"/>
      <c r="AF69" s="574"/>
      <c r="AG69" s="574"/>
      <c r="AH69" s="574"/>
      <c r="AI69" s="574"/>
      <c r="AJ69" s="1649">
        <v>11</v>
      </c>
    </row>
    <row s="1649" customFormat="1" customHeight="1" ht="11.549999999999999">
      <c r="A70" s="995"/>
      <c r="B70" s="1644"/>
      <c r="C70" s="1644"/>
      <c r="D70" s="359"/>
      <c r="J70" s="1649"/>
      <c r="K70" s="1649"/>
      <c r="L70" s="1649"/>
      <c r="M70" s="1649"/>
      <c r="O70" s="1168"/>
      <c r="P70" s="1644"/>
      <c r="Q70" s="1644"/>
      <c r="R70" s="1168"/>
      <c r="S70" s="1168"/>
      <c r="T70" s="1168"/>
      <c r="U70" s="1168"/>
      <c r="V70" s="1644"/>
      <c r="W70" s="1168"/>
      <c r="X70" s="1168"/>
      <c r="Y70" s="552"/>
      <c r="Z70" s="1168"/>
      <c r="AA70" s="1168"/>
      <c r="AB70" s="1168"/>
      <c r="AC70" s="1168"/>
      <c r="AD70" s="1168"/>
      <c r="AE70" s="1640"/>
      <c r="AF70" s="574"/>
      <c r="AG70" s="574"/>
      <c r="AH70" s="574"/>
      <c r="AI70" s="574"/>
      <c r="AJ70" s="1649">
        <v>11</v>
      </c>
    </row>
    <row s="1649" customFormat="1" customHeight="1" ht="11.549999999999999">
      <c r="A71" s="995"/>
      <c r="B71" s="1644"/>
      <c r="C71" s="1644"/>
      <c r="D71" s="359"/>
      <c r="J71" s="1649"/>
      <c r="K71" s="1649"/>
      <c r="L71" s="1649"/>
      <c r="M71" s="1649"/>
      <c r="O71" s="1168"/>
      <c r="P71" s="1644"/>
      <c r="Q71" s="1644"/>
      <c r="R71" s="1168"/>
      <c r="S71" s="1168"/>
      <c r="T71" s="1168"/>
      <c r="U71" s="1168"/>
      <c r="V71" s="1644"/>
      <c r="W71" s="1168"/>
      <c r="X71" s="1168"/>
      <c r="Y71" s="552"/>
      <c r="Z71" s="1168"/>
      <c r="AA71" s="1168"/>
      <c r="AB71" s="1168"/>
      <c r="AC71" s="1168"/>
      <c r="AD71" s="1168"/>
      <c r="AE71" s="1640"/>
      <c r="AF71" s="574"/>
      <c r="AG71" s="574"/>
      <c r="AH71" s="574"/>
      <c r="AI71" s="574"/>
      <c r="AJ71" s="1649">
        <v>11</v>
      </c>
    </row>
    <row s="1649" customFormat="1" customHeight="1" ht="11.549999999999999">
      <c r="A72" s="995"/>
      <c r="B72" s="1644"/>
      <c r="C72" s="1644"/>
      <c r="D72" s="359"/>
      <c r="J72" s="1649"/>
      <c r="K72" s="1649"/>
      <c r="L72" s="1649"/>
      <c r="M72" s="1649"/>
      <c r="O72" s="1168"/>
      <c r="P72" s="1644"/>
      <c r="Q72" s="1644"/>
      <c r="R72" s="1168"/>
      <c r="S72" s="1168"/>
      <c r="T72" s="1168"/>
      <c r="U72" s="1168"/>
      <c r="V72" s="1644"/>
      <c r="W72" s="1168"/>
      <c r="X72" s="1168"/>
      <c r="Y72" s="552"/>
      <c r="Z72" s="1168"/>
      <c r="AA72" s="1168"/>
      <c r="AB72" s="1168"/>
      <c r="AC72" s="1168"/>
      <c r="AD72" s="1168"/>
      <c r="AE72" s="1640"/>
      <c r="AF72" s="574"/>
      <c r="AG72" s="574"/>
      <c r="AH72" s="574"/>
      <c r="AI72" s="574"/>
      <c r="AJ72" s="1649">
        <v>11</v>
      </c>
    </row>
    <row s="1649" customFormat="1" customHeight="1" ht="11.549999999999999">
      <c r="A73" s="995"/>
      <c r="B73" s="1644"/>
      <c r="C73" s="1644"/>
      <c r="D73" s="359"/>
      <c r="J73" s="1649"/>
      <c r="K73" s="1649"/>
      <c r="L73" s="1649"/>
      <c r="M73" s="1649"/>
      <c r="O73" s="1168"/>
      <c r="P73" s="1644"/>
      <c r="Q73" s="1644"/>
      <c r="R73" s="1168"/>
      <c r="S73" s="1168"/>
      <c r="T73" s="1168"/>
      <c r="U73" s="1168"/>
      <c r="V73" s="1644"/>
      <c r="W73" s="1168"/>
      <c r="X73" s="1168"/>
      <c r="Y73" s="552"/>
      <c r="Z73" s="1168"/>
      <c r="AA73" s="1168"/>
      <c r="AB73" s="1168"/>
      <c r="AC73" s="1168"/>
      <c r="AD73" s="1168"/>
      <c r="AE73" s="1640"/>
      <c r="AF73" s="574"/>
      <c r="AG73" s="574"/>
      <c r="AH73" s="574"/>
      <c r="AI73" s="574"/>
      <c r="AJ73" s="1649">
        <v>11</v>
      </c>
    </row>
    <row s="1649" customFormat="1" customHeight="1" ht="11.549999999999999">
      <c r="A74" s="995"/>
      <c r="B74" s="1644"/>
      <c r="C74" s="1644"/>
      <c r="D74" s="359"/>
      <c r="J74" s="1649"/>
      <c r="K74" s="1649"/>
      <c r="L74" s="1649"/>
      <c r="M74" s="1649"/>
      <c r="O74" s="1168"/>
      <c r="P74" s="1644"/>
      <c r="Q74" s="1644"/>
      <c r="R74" s="1168"/>
      <c r="S74" s="1168"/>
      <c r="T74" s="1168"/>
      <c r="U74" s="1168"/>
      <c r="V74" s="1644"/>
      <c r="W74" s="1168"/>
      <c r="X74" s="1168"/>
      <c r="Y74" s="552"/>
      <c r="Z74" s="1168"/>
      <c r="AA74" s="1168"/>
      <c r="AB74" s="1168"/>
      <c r="AC74" s="1168"/>
      <c r="AD74" s="1168"/>
      <c r="AE74" s="1640"/>
      <c r="AF74" s="574"/>
      <c r="AG74" s="574"/>
      <c r="AH74" s="574"/>
      <c r="AI74" s="574"/>
      <c r="AJ74" s="1649">
        <v>11</v>
      </c>
    </row>
    <row s="1649" customFormat="1" customHeight="1" ht="11.549999999999999">
      <c r="A75" s="995"/>
      <c r="B75" s="1644"/>
      <c r="C75" s="1644"/>
      <c r="D75" s="359"/>
      <c r="J75" s="1649"/>
      <c r="K75" s="1649"/>
      <c r="L75" s="1649"/>
      <c r="M75" s="1649"/>
      <c r="O75" s="1168"/>
      <c r="P75" s="1644"/>
      <c r="Q75" s="1644"/>
      <c r="R75" s="1168"/>
      <c r="S75" s="1168"/>
      <c r="T75" s="1168"/>
      <c r="U75" s="1168"/>
      <c r="V75" s="1644"/>
      <c r="W75" s="1168"/>
      <c r="X75" s="1168"/>
      <c r="Y75" s="552"/>
      <c r="Z75" s="1168"/>
      <c r="AA75" s="1168"/>
      <c r="AB75" s="1168"/>
      <c r="AC75" s="1168"/>
      <c r="AD75" s="1168"/>
      <c r="AE75" s="1640"/>
      <c r="AF75" s="574"/>
      <c r="AG75" s="574"/>
      <c r="AH75" s="574"/>
      <c r="AI75" s="574"/>
      <c r="AJ75" s="1649">
        <v>11</v>
      </c>
    </row>
    <row s="1649" customFormat="1" customHeight="1" ht="11.549999999999999">
      <c r="A76" s="995"/>
      <c r="B76" s="1644"/>
      <c r="C76" s="1644"/>
      <c r="D76" s="359"/>
      <c r="J76" s="1649"/>
      <c r="K76" s="1649"/>
      <c r="L76" s="1649"/>
      <c r="M76" s="1649"/>
      <c r="O76" s="1168"/>
      <c r="P76" s="1644"/>
      <c r="Q76" s="1644"/>
      <c r="R76" s="1168"/>
      <c r="S76" s="1168"/>
      <c r="T76" s="1168"/>
      <c r="U76" s="1168"/>
      <c r="V76" s="1644"/>
      <c r="W76" s="1168"/>
      <c r="X76" s="1168"/>
      <c r="Y76" s="552"/>
      <c r="Z76" s="1168"/>
      <c r="AA76" s="1168"/>
      <c r="AB76" s="1168"/>
      <c r="AC76" s="1168"/>
      <c r="AD76" s="1168"/>
      <c r="AE76" s="1640"/>
      <c r="AF76" s="574"/>
      <c r="AG76" s="574"/>
      <c r="AH76" s="574"/>
      <c r="AI76" s="574"/>
      <c r="AJ76" s="1649">
        <v>11</v>
      </c>
    </row>
    <row s="1649" customFormat="1" customHeight="1" ht="11.549999999999999">
      <c r="A77" s="995"/>
      <c r="B77" s="1644"/>
      <c r="C77" s="1644"/>
      <c r="D77" s="359"/>
      <c r="J77" s="1649"/>
      <c r="K77" s="1649"/>
      <c r="L77" s="1649"/>
      <c r="M77" s="1649"/>
      <c r="O77" s="1168"/>
      <c r="P77" s="1644"/>
      <c r="Q77" s="1644"/>
      <c r="R77" s="1168"/>
      <c r="S77" s="1168"/>
      <c r="T77" s="1168"/>
      <c r="U77" s="1168"/>
      <c r="V77" s="1644"/>
      <c r="W77" s="1168"/>
      <c r="X77" s="1168"/>
      <c r="Y77" s="552"/>
      <c r="Z77" s="1168"/>
      <c r="AA77" s="1168"/>
      <c r="AB77" s="1168"/>
      <c r="AC77" s="1168"/>
      <c r="AD77" s="1168"/>
      <c r="AE77" s="1640"/>
      <c r="AF77" s="574"/>
      <c r="AG77" s="574"/>
      <c r="AH77" s="574"/>
      <c r="AI77" s="574"/>
      <c r="AJ77" s="1649">
        <v>11</v>
      </c>
    </row>
    <row s="1649" customFormat="1" customHeight="1" ht="11.549999999999999">
      <c r="A78" s="995"/>
      <c r="B78" s="1644"/>
      <c r="C78" s="1644"/>
      <c r="D78" s="359"/>
      <c r="J78" s="1649"/>
      <c r="K78" s="1649"/>
      <c r="L78" s="1649"/>
      <c r="M78" s="1649"/>
      <c r="O78" s="1168"/>
      <c r="P78" s="1644"/>
      <c r="Q78" s="1644"/>
      <c r="R78" s="1168"/>
      <c r="S78" s="1168"/>
      <c r="T78" s="1168"/>
      <c r="U78" s="1168"/>
      <c r="V78" s="1644"/>
      <c r="W78" s="1168"/>
      <c r="X78" s="1168"/>
      <c r="Y78" s="552"/>
      <c r="Z78" s="1168"/>
      <c r="AA78" s="1168"/>
      <c r="AB78" s="1168"/>
      <c r="AC78" s="1168"/>
      <c r="AD78" s="1168"/>
      <c r="AE78" s="1640"/>
      <c r="AF78" s="574"/>
      <c r="AG78" s="574"/>
      <c r="AH78" s="574"/>
      <c r="AI78" s="574"/>
      <c r="AJ78" s="1649">
        <v>11</v>
      </c>
    </row>
    <row s="1649" customFormat="1" customHeight="1" ht="11.549999999999999">
      <c r="A79" s="995"/>
      <c r="B79" s="1644"/>
      <c r="C79" s="1644"/>
      <c r="D79" s="359"/>
      <c r="J79" s="1649"/>
      <c r="K79" s="1649"/>
      <c r="L79" s="1649"/>
      <c r="M79" s="1649"/>
      <c r="O79" s="1168"/>
      <c r="P79" s="1644"/>
      <c r="Q79" s="1644"/>
      <c r="R79" s="1168"/>
      <c r="S79" s="1168"/>
      <c r="T79" s="1168"/>
      <c r="U79" s="1168"/>
      <c r="V79" s="1644"/>
      <c r="W79" s="1168"/>
      <c r="X79" s="1168"/>
      <c r="Y79" s="552"/>
      <c r="Z79" s="1168"/>
      <c r="AA79" s="1168"/>
      <c r="AB79" s="1168"/>
      <c r="AC79" s="1168"/>
      <c r="AD79" s="1168"/>
      <c r="AE79" s="1640"/>
      <c r="AF79" s="574"/>
      <c r="AG79" s="574"/>
      <c r="AH79" s="574"/>
      <c r="AI79" s="574"/>
      <c r="AJ79" s="1649">
        <v>11</v>
      </c>
    </row>
    <row s="1649" customFormat="1" customHeight="1" ht="11.549999999999999">
      <c r="A80" s="995"/>
      <c r="B80" s="1644"/>
      <c r="C80" s="1644"/>
      <c r="D80" s="359"/>
      <c r="J80" s="1649"/>
      <c r="K80" s="1649"/>
      <c r="L80" s="1649"/>
      <c r="M80" s="1649"/>
      <c r="O80" s="1168"/>
      <c r="P80" s="1644"/>
      <c r="Q80" s="1644"/>
      <c r="R80" s="1168"/>
      <c r="S80" s="1168"/>
      <c r="T80" s="1168"/>
      <c r="U80" s="1168"/>
      <c r="V80" s="1644"/>
      <c r="W80" s="1168"/>
      <c r="X80" s="1168"/>
      <c r="Y80" s="552"/>
      <c r="Z80" s="1168"/>
      <c r="AA80" s="1168"/>
      <c r="AB80" s="1168"/>
      <c r="AC80" s="1168"/>
      <c r="AD80" s="1168"/>
      <c r="AE80" s="1640"/>
      <c r="AF80" s="574"/>
      <c r="AG80" s="574"/>
      <c r="AH80" s="574"/>
      <c r="AI80" s="574"/>
      <c r="AJ80" s="1649">
        <v>11</v>
      </c>
    </row>
    <row s="1649" customFormat="1" customHeight="1" ht="11.549999999999999">
      <c r="A81" s="995"/>
      <c r="B81" s="1644"/>
      <c r="C81" s="1644"/>
      <c r="D81" s="359"/>
      <c r="J81" s="1649"/>
      <c r="K81" s="1649"/>
      <c r="L81" s="1649"/>
      <c r="M81" s="1649"/>
      <c r="O81" s="1168"/>
      <c r="P81" s="1644"/>
      <c r="Q81" s="1644"/>
      <c r="R81" s="1168"/>
      <c r="S81" s="1168"/>
      <c r="T81" s="1168"/>
      <c r="U81" s="1168"/>
      <c r="V81" s="1644"/>
      <c r="W81" s="1168"/>
      <c r="X81" s="1168"/>
      <c r="Y81" s="552"/>
      <c r="Z81" s="1168"/>
      <c r="AA81" s="1168"/>
      <c r="AB81" s="1168"/>
      <c r="AC81" s="1168"/>
      <c r="AD81" s="1168"/>
      <c r="AE81" s="1640"/>
      <c r="AF81" s="574"/>
      <c r="AG81" s="574"/>
      <c r="AH81" s="574"/>
      <c r="AI81" s="574"/>
      <c r="AJ81" s="1649">
        <v>11</v>
      </c>
    </row>
    <row s="1649" customFormat="1" customHeight="1" ht="11.549999999999999">
      <c r="A82" s="995"/>
      <c r="B82" s="1644"/>
      <c r="C82" s="1644"/>
      <c r="D82" s="359"/>
      <c r="J82" s="1649"/>
      <c r="K82" s="1649"/>
      <c r="L82" s="1649"/>
      <c r="M82" s="1649"/>
      <c r="O82" s="1168"/>
      <c r="P82" s="1644"/>
      <c r="Q82" s="1644"/>
      <c r="R82" s="1168"/>
      <c r="S82" s="1168"/>
      <c r="T82" s="1168"/>
      <c r="U82" s="1168"/>
      <c r="V82" s="1644"/>
      <c r="W82" s="1168"/>
      <c r="X82" s="1168"/>
      <c r="Y82" s="552"/>
      <c r="Z82" s="1168"/>
      <c r="AA82" s="1168"/>
      <c r="AB82" s="1168"/>
      <c r="AC82" s="1168"/>
      <c r="AD82" s="1168"/>
      <c r="AE82" s="1640"/>
      <c r="AF82" s="574"/>
      <c r="AG82" s="574"/>
      <c r="AH82" s="574"/>
      <c r="AI82" s="574"/>
      <c r="AJ82" s="1649">
        <v>11</v>
      </c>
    </row>
    <row s="1649" customFormat="1" customHeight="1" ht="11.549999999999999">
      <c r="A83" s="995"/>
      <c r="B83" s="1644"/>
      <c r="C83" s="1644"/>
      <c r="D83" s="359"/>
      <c r="J83" s="1649"/>
      <c r="K83" s="1649"/>
      <c r="L83" s="1649"/>
      <c r="M83" s="1649"/>
      <c r="O83" s="1168"/>
      <c r="P83" s="1644"/>
      <c r="Q83" s="1644"/>
      <c r="R83" s="1168"/>
      <c r="S83" s="1168"/>
      <c r="T83" s="1168"/>
      <c r="U83" s="1168"/>
      <c r="V83" s="1644"/>
      <c r="W83" s="1168"/>
      <c r="X83" s="1168"/>
      <c r="Y83" s="552"/>
      <c r="Z83" s="1168"/>
      <c r="AA83" s="1168"/>
      <c r="AB83" s="1168"/>
      <c r="AC83" s="1168"/>
      <c r="AD83" s="1168"/>
      <c r="AE83" s="1640"/>
      <c r="AF83" s="574"/>
      <c r="AG83" s="574"/>
      <c r="AH83" s="574"/>
      <c r="AI83" s="574"/>
      <c r="AJ83" s="1649">
        <v>11</v>
      </c>
    </row>
    <row s="1649" customFormat="1" customHeight="1" ht="11.549999999999999">
      <c r="A84" s="995"/>
      <c r="B84" s="1644"/>
      <c r="C84" s="1644"/>
      <c r="D84" s="359"/>
      <c r="J84" s="1649"/>
      <c r="K84" s="1649"/>
      <c r="L84" s="1649"/>
      <c r="M84" s="1649"/>
      <c r="O84" s="1168"/>
      <c r="P84" s="1644"/>
      <c r="Q84" s="1644"/>
      <c r="R84" s="1168"/>
      <c r="S84" s="1168"/>
      <c r="T84" s="1168"/>
      <c r="U84" s="1168"/>
      <c r="V84" s="1644"/>
      <c r="W84" s="1168"/>
      <c r="X84" s="1168"/>
      <c r="Y84" s="552"/>
      <c r="Z84" s="1168"/>
      <c r="AA84" s="1168"/>
      <c r="AB84" s="1168"/>
      <c r="AC84" s="1168"/>
      <c r="AD84" s="1168"/>
      <c r="AE84" s="1640"/>
      <c r="AF84" s="574"/>
      <c r="AG84" s="574"/>
      <c r="AH84" s="574"/>
      <c r="AI84" s="574"/>
      <c r="AJ84" s="1649">
        <v>11</v>
      </c>
    </row>
    <row s="1649" customFormat="1" customHeight="1" ht="11.549999999999999">
      <c r="A85" s="995"/>
      <c r="B85" s="1644"/>
      <c r="C85" s="1644"/>
      <c r="D85" s="359"/>
      <c r="J85" s="1649"/>
      <c r="K85" s="1649"/>
      <c r="L85" s="1649"/>
      <c r="M85" s="1649"/>
      <c r="O85" s="1168"/>
      <c r="P85" s="1644"/>
      <c r="Q85" s="1644"/>
      <c r="R85" s="1168"/>
      <c r="S85" s="1168"/>
      <c r="T85" s="1168"/>
      <c r="U85" s="1168"/>
      <c r="V85" s="1644"/>
      <c r="W85" s="1168"/>
      <c r="X85" s="1168"/>
      <c r="Y85" s="552"/>
      <c r="Z85" s="1168"/>
      <c r="AA85" s="1168"/>
      <c r="AB85" s="1168"/>
      <c r="AC85" s="1168"/>
      <c r="AD85" s="1168"/>
      <c r="AE85" s="1640"/>
      <c r="AF85" s="574"/>
      <c r="AG85" s="574"/>
      <c r="AH85" s="574"/>
      <c r="AI85" s="574"/>
      <c r="AJ85" s="1649">
        <v>11</v>
      </c>
    </row>
    <row s="1649" customFormat="1" customHeight="1" ht="11.549999999999999">
      <c r="A86" s="995"/>
      <c r="B86" s="1644"/>
      <c r="C86" s="1644"/>
      <c r="D86" s="359"/>
      <c r="J86" s="1649"/>
      <c r="K86" s="1649"/>
      <c r="L86" s="1649"/>
      <c r="M86" s="1649"/>
      <c r="O86" s="1168"/>
      <c r="P86" s="1644"/>
      <c r="Q86" s="1644"/>
      <c r="R86" s="1168"/>
      <c r="S86" s="1168"/>
      <c r="T86" s="1168"/>
      <c r="U86" s="1168"/>
      <c r="V86" s="1644"/>
      <c r="W86" s="1168"/>
      <c r="X86" s="1168"/>
      <c r="Y86" s="552"/>
      <c r="Z86" s="1168"/>
      <c r="AA86" s="1168"/>
      <c r="AB86" s="1168"/>
      <c r="AC86" s="1168"/>
      <c r="AD86" s="1168"/>
      <c r="AE86" s="1640"/>
      <c r="AF86" s="574"/>
      <c r="AG86" s="574"/>
      <c r="AH86" s="574"/>
      <c r="AI86" s="574"/>
      <c r="AJ86" s="1649">
        <v>11</v>
      </c>
    </row>
    <row s="1649" customFormat="1" customHeight="1" ht="11.549999999999999">
      <c r="A87" s="995"/>
      <c r="B87" s="1644"/>
      <c r="C87" s="1644"/>
      <c r="D87" s="359"/>
      <c r="J87" s="1649"/>
      <c r="K87" s="1649"/>
      <c r="L87" s="1649"/>
      <c r="M87" s="1649"/>
      <c r="O87" s="1168"/>
      <c r="P87" s="1644"/>
      <c r="Q87" s="1644"/>
      <c r="R87" s="1168"/>
      <c r="S87" s="1168"/>
      <c r="T87" s="1168"/>
      <c r="U87" s="1168"/>
      <c r="V87" s="1644"/>
      <c r="W87" s="1168"/>
      <c r="X87" s="1168"/>
      <c r="Y87" s="552"/>
      <c r="Z87" s="1168"/>
      <c r="AA87" s="1168"/>
      <c r="AB87" s="1168"/>
      <c r="AC87" s="1168"/>
      <c r="AD87" s="1168"/>
      <c r="AE87" s="1640"/>
      <c r="AF87" s="574"/>
      <c r="AG87" s="574"/>
      <c r="AH87" s="574"/>
      <c r="AI87" s="574"/>
      <c r="AJ87" s="1649">
        <v>11</v>
      </c>
    </row>
    <row s="1649" customFormat="1" customHeight="1" ht="11.549999999999999">
      <c r="A88" s="995"/>
      <c r="B88" s="1644"/>
      <c r="C88" s="1644"/>
      <c r="D88" s="359"/>
      <c r="J88" s="1649"/>
      <c r="K88" s="1649"/>
      <c r="L88" s="1649"/>
      <c r="M88" s="1649"/>
      <c r="O88" s="1168"/>
      <c r="P88" s="1644"/>
      <c r="Q88" s="1644"/>
      <c r="R88" s="1168"/>
      <c r="S88" s="1168"/>
      <c r="T88" s="1168"/>
      <c r="U88" s="1168"/>
      <c r="V88" s="1644"/>
      <c r="W88" s="1168"/>
      <c r="X88" s="1168"/>
      <c r="Y88" s="552"/>
      <c r="Z88" s="1168"/>
      <c r="AA88" s="1168"/>
      <c r="AB88" s="1168"/>
      <c r="AC88" s="1168"/>
      <c r="AD88" s="1168"/>
      <c r="AE88" s="1640"/>
      <c r="AF88" s="574"/>
      <c r="AG88" s="574"/>
      <c r="AH88" s="574"/>
      <c r="AI88" s="574"/>
      <c r="AJ88" s="1649">
        <v>11</v>
      </c>
    </row>
    <row s="1649" customFormat="1" customHeight="1" ht="11.549999999999999">
      <c r="A89" s="995"/>
      <c r="B89" s="1644"/>
      <c r="C89" s="1644"/>
      <c r="D89" s="359"/>
      <c r="J89" s="1649"/>
      <c r="K89" s="1649"/>
      <c r="L89" s="1649"/>
      <c r="M89" s="1649"/>
      <c r="O89" s="1168"/>
      <c r="P89" s="1644"/>
      <c r="Q89" s="1644"/>
      <c r="R89" s="1168"/>
      <c r="S89" s="1168"/>
      <c r="T89" s="1168"/>
      <c r="U89" s="1168"/>
      <c r="V89" s="1644"/>
      <c r="W89" s="1168"/>
      <c r="X89" s="1168"/>
      <c r="Y89" s="552"/>
      <c r="Z89" s="1168"/>
      <c r="AA89" s="1168"/>
      <c r="AB89" s="1168"/>
      <c r="AC89" s="1168"/>
      <c r="AD89" s="1168"/>
      <c r="AE89" s="1640"/>
      <c r="AF89" s="574"/>
      <c r="AG89" s="574"/>
      <c r="AH89" s="574"/>
      <c r="AI89" s="574"/>
      <c r="AJ89" s="1649">
        <v>11</v>
      </c>
    </row>
    <row s="1649" customFormat="1" customHeight="1" ht="11.549999999999999">
      <c r="A90" s="995"/>
      <c r="B90" s="1644"/>
      <c r="C90" s="1644"/>
      <c r="D90" s="359"/>
      <c r="J90" s="1649"/>
      <c r="K90" s="1649"/>
      <c r="L90" s="1649"/>
      <c r="M90" s="1649"/>
      <c r="O90" s="1168"/>
      <c r="P90" s="1644"/>
      <c r="Q90" s="1644"/>
      <c r="R90" s="1168"/>
      <c r="S90" s="1168"/>
      <c r="T90" s="1168"/>
      <c r="U90" s="1168"/>
      <c r="V90" s="1644"/>
      <c r="W90" s="1168"/>
      <c r="X90" s="1168"/>
      <c r="Y90" s="552"/>
      <c r="Z90" s="1168"/>
      <c r="AA90" s="1168"/>
      <c r="AB90" s="1168"/>
      <c r="AC90" s="1168"/>
      <c r="AD90" s="1168"/>
      <c r="AE90" s="1640"/>
      <c r="AF90" s="574"/>
      <c r="AG90" s="574"/>
      <c r="AH90" s="574"/>
      <c r="AI90" s="574"/>
      <c r="AJ90" s="1649">
        <v>11</v>
      </c>
    </row>
    <row s="1649" customFormat="1" customHeight="1" ht="11.549999999999999">
      <c r="A91" s="995"/>
      <c r="B91" s="1644"/>
      <c r="C91" s="1644"/>
      <c r="D91" s="359"/>
      <c r="J91" s="1649"/>
      <c r="K91" s="1649"/>
      <c r="L91" s="1649"/>
      <c r="M91" s="1649"/>
      <c r="O91" s="1168"/>
      <c r="P91" s="1644"/>
      <c r="Q91" s="1644"/>
      <c r="R91" s="1168"/>
      <c r="S91" s="1168"/>
      <c r="T91" s="1168"/>
      <c r="U91" s="1168"/>
      <c r="V91" s="1644"/>
      <c r="W91" s="1168"/>
      <c r="X91" s="1168"/>
      <c r="Y91" s="552"/>
      <c r="Z91" s="1168"/>
      <c r="AA91" s="1168"/>
      <c r="AB91" s="1168"/>
      <c r="AC91" s="1168"/>
      <c r="AD91" s="1168"/>
      <c r="AE91" s="1640"/>
      <c r="AF91" s="574"/>
      <c r="AG91" s="574"/>
      <c r="AH91" s="574"/>
      <c r="AI91" s="574"/>
      <c r="AJ91" s="1649">
        <v>11</v>
      </c>
    </row>
    <row s="1649" customFormat="1" customHeight="1" ht="11.549999999999999">
      <c r="A92" s="995"/>
      <c r="B92" s="1644"/>
      <c r="C92" s="1644"/>
      <c r="D92" s="359"/>
      <c r="J92" s="1649"/>
      <c r="K92" s="1649"/>
      <c r="L92" s="1649"/>
      <c r="M92" s="1649"/>
      <c r="O92" s="1168"/>
      <c r="P92" s="1644"/>
      <c r="Q92" s="1644"/>
      <c r="R92" s="1168"/>
      <c r="S92" s="1168"/>
      <c r="T92" s="1168"/>
      <c r="U92" s="1168"/>
      <c r="V92" s="1644"/>
      <c r="W92" s="1168"/>
      <c r="X92" s="1168"/>
      <c r="Y92" s="552"/>
      <c r="Z92" s="1168"/>
      <c r="AA92" s="1168"/>
      <c r="AB92" s="1168"/>
      <c r="AC92" s="1168"/>
      <c r="AD92" s="1168"/>
      <c r="AE92" s="1640"/>
      <c r="AF92" s="574"/>
      <c r="AG92" s="574"/>
      <c r="AH92" s="574"/>
      <c r="AI92" s="574"/>
      <c r="AJ92" s="1649">
        <v>11</v>
      </c>
    </row>
    <row s="1649" customFormat="1" customHeight="1" ht="11.549999999999999">
      <c r="A93" s="995"/>
      <c r="B93" s="1644"/>
      <c r="C93" s="1644"/>
      <c r="D93" s="359"/>
      <c r="J93" s="1649"/>
      <c r="K93" s="1649"/>
      <c r="L93" s="1649"/>
      <c r="M93" s="1649"/>
      <c r="O93" s="1168"/>
      <c r="P93" s="1644"/>
      <c r="Q93" s="1644"/>
      <c r="R93" s="1168"/>
      <c r="S93" s="1168"/>
      <c r="T93" s="1168"/>
      <c r="U93" s="1168"/>
      <c r="V93" s="1644"/>
      <c r="W93" s="1168"/>
      <c r="X93" s="1168"/>
      <c r="Y93" s="552"/>
      <c r="Z93" s="1168"/>
      <c r="AA93" s="1168"/>
      <c r="AB93" s="1168"/>
      <c r="AC93" s="1168"/>
      <c r="AD93" s="1168"/>
      <c r="AE93" s="1640"/>
      <c r="AF93" s="574"/>
      <c r="AG93" s="574"/>
      <c r="AH93" s="574"/>
      <c r="AI93" s="574"/>
      <c r="AJ93" s="1649">
        <v>11</v>
      </c>
    </row>
    <row s="1649" customFormat="1" customHeight="1" ht="11.549999999999999">
      <c r="A94" s="995"/>
      <c r="B94" s="1644"/>
      <c r="C94" s="1644"/>
      <c r="D94" s="359"/>
      <c r="J94" s="1649"/>
      <c r="K94" s="1649"/>
      <c r="L94" s="1649"/>
      <c r="M94" s="1649"/>
      <c r="O94" s="1168"/>
      <c r="P94" s="1644"/>
      <c r="Q94" s="1644"/>
      <c r="R94" s="1168"/>
      <c r="S94" s="1168"/>
      <c r="T94" s="1168"/>
      <c r="U94" s="1168"/>
      <c r="V94" s="1644"/>
      <c r="W94" s="1168"/>
      <c r="X94" s="1168"/>
      <c r="Y94" s="552"/>
      <c r="Z94" s="1168"/>
      <c r="AA94" s="1168"/>
      <c r="AB94" s="1168"/>
      <c r="AC94" s="1168"/>
      <c r="AD94" s="1168"/>
      <c r="AE94" s="1640"/>
      <c r="AF94" s="574"/>
      <c r="AG94" s="574"/>
      <c r="AH94" s="574"/>
      <c r="AI94" s="574"/>
      <c r="AJ94" s="1649">
        <v>11</v>
      </c>
    </row>
    <row s="1649" customFormat="1" customHeight="1" ht="11.549999999999999">
      <c r="A95" s="995"/>
      <c r="B95" s="1644"/>
      <c r="C95" s="1644"/>
      <c r="D95" s="359"/>
      <c r="J95" s="1649"/>
      <c r="K95" s="1649"/>
      <c r="L95" s="1649"/>
      <c r="M95" s="1649"/>
      <c r="O95" s="1168"/>
      <c r="P95" s="1644"/>
      <c r="Q95" s="1644"/>
      <c r="R95" s="1168"/>
      <c r="S95" s="1168"/>
      <c r="T95" s="1168"/>
      <c r="U95" s="1168"/>
      <c r="V95" s="1644"/>
      <c r="W95" s="1168"/>
      <c r="X95" s="1168"/>
      <c r="Y95" s="552"/>
      <c r="Z95" s="1168"/>
      <c r="AA95" s="1168"/>
      <c r="AB95" s="1168"/>
      <c r="AC95" s="1168"/>
      <c r="AD95" s="1168"/>
      <c r="AE95" s="1640"/>
      <c r="AF95" s="574"/>
      <c r="AG95" s="574"/>
      <c r="AH95" s="574"/>
      <c r="AI95" s="574"/>
      <c r="AJ95" s="1649">
        <v>11</v>
      </c>
    </row>
    <row s="1649" customFormat="1" customHeight="1" ht="11.549999999999999">
      <c r="A96" s="995"/>
      <c r="B96" s="1644"/>
      <c r="C96" s="1644"/>
      <c r="D96" s="359"/>
      <c r="J96" s="1649"/>
      <c r="K96" s="1649"/>
      <c r="L96" s="1649"/>
      <c r="M96" s="1649"/>
      <c r="O96" s="1168"/>
      <c r="P96" s="1644"/>
      <c r="Q96" s="1644"/>
      <c r="R96" s="1168"/>
      <c r="S96" s="1168"/>
      <c r="T96" s="1168"/>
      <c r="U96" s="1168"/>
      <c r="V96" s="1644"/>
      <c r="W96" s="1168"/>
      <c r="X96" s="1168"/>
      <c r="Y96" s="552"/>
      <c r="Z96" s="1168"/>
      <c r="AA96" s="1168"/>
      <c r="AB96" s="1168"/>
      <c r="AC96" s="1168"/>
      <c r="AD96" s="1168"/>
      <c r="AE96" s="1640"/>
      <c r="AF96" s="574"/>
      <c r="AG96" s="574"/>
      <c r="AH96" s="574"/>
      <c r="AI96" s="574"/>
      <c r="AJ96" s="1649">
        <v>11</v>
      </c>
    </row>
    <row s="1649" customFormat="1" customHeight="1" ht="11.549999999999999">
      <c r="A97" s="995"/>
      <c r="B97" s="1644"/>
      <c r="C97" s="1644"/>
      <c r="D97" s="359"/>
      <c r="J97" s="1649"/>
      <c r="K97" s="1649"/>
      <c r="L97" s="1649"/>
      <c r="M97" s="1649"/>
      <c r="O97" s="1168"/>
      <c r="P97" s="1644"/>
      <c r="Q97" s="1644"/>
      <c r="R97" s="1168"/>
      <c r="S97" s="1168"/>
      <c r="T97" s="1168"/>
      <c r="U97" s="1168"/>
      <c r="V97" s="1644"/>
      <c r="W97" s="1168"/>
      <c r="X97" s="1168"/>
      <c r="Y97" s="552"/>
      <c r="Z97" s="1168"/>
      <c r="AA97" s="1168"/>
      <c r="AB97" s="1168"/>
      <c r="AC97" s="1168"/>
      <c r="AD97" s="1168"/>
      <c r="AE97" s="1640"/>
      <c r="AF97" s="574"/>
      <c r="AG97" s="574"/>
      <c r="AH97" s="574"/>
      <c r="AI97" s="574"/>
      <c r="AJ97" s="1649">
        <v>11</v>
      </c>
    </row>
    <row s="1649" customFormat="1" customHeight="1" ht="11.549999999999999">
      <c r="A98" s="995"/>
      <c r="B98" s="1644"/>
      <c r="C98" s="1644"/>
      <c r="D98" s="359"/>
      <c r="J98" s="1649"/>
      <c r="K98" s="1649"/>
      <c r="L98" s="1649"/>
      <c r="M98" s="1649"/>
      <c r="O98" s="1168"/>
      <c r="P98" s="1644"/>
      <c r="Q98" s="1644"/>
      <c r="R98" s="1168"/>
      <c r="S98" s="1168"/>
      <c r="T98" s="1168"/>
      <c r="U98" s="1168"/>
      <c r="V98" s="1644"/>
      <c r="W98" s="1168"/>
      <c r="X98" s="1168"/>
      <c r="Y98" s="552"/>
      <c r="Z98" s="1168"/>
      <c r="AA98" s="1168"/>
      <c r="AB98" s="1168"/>
      <c r="AC98" s="1168"/>
      <c r="AD98" s="1168"/>
      <c r="AE98" s="1640"/>
      <c r="AF98" s="574"/>
      <c r="AG98" s="574"/>
      <c r="AH98" s="574"/>
      <c r="AI98" s="574"/>
      <c r="AJ98" s="1649">
        <v>11</v>
      </c>
    </row>
    <row s="1649" customFormat="1" customHeight="1" ht="11.549999999999999">
      <c r="A99" s="995"/>
      <c r="B99" s="1644"/>
      <c r="C99" s="1644"/>
      <c r="D99" s="359"/>
      <c r="J99" s="1649"/>
      <c r="K99" s="1649"/>
      <c r="L99" s="1649"/>
      <c r="M99" s="1649"/>
      <c r="O99" s="1168"/>
      <c r="P99" s="1644"/>
      <c r="Q99" s="1644"/>
      <c r="R99" s="1168"/>
      <c r="S99" s="1168"/>
      <c r="T99" s="1168"/>
      <c r="U99" s="1168"/>
      <c r="V99" s="1644"/>
      <c r="W99" s="1168"/>
      <c r="X99" s="1168"/>
      <c r="Y99" s="552"/>
      <c r="Z99" s="1168"/>
      <c r="AA99" s="1168"/>
      <c r="AB99" s="1168"/>
      <c r="AC99" s="1168"/>
      <c r="AD99" s="1168"/>
      <c r="AE99" s="1640"/>
      <c r="AF99" s="574"/>
      <c r="AG99" s="574"/>
      <c r="AH99" s="574"/>
      <c r="AI99" s="574"/>
      <c r="AJ99" s="1649">
        <v>11</v>
      </c>
    </row>
    <row s="1649" customFormat="1" customHeight="1" ht="11.549999999999999">
      <c r="A100" s="995"/>
      <c r="B100" s="1644"/>
      <c r="C100" s="1644"/>
      <c r="D100" s="359"/>
      <c r="J100" s="1649"/>
      <c r="K100" s="1649"/>
      <c r="L100" s="1649"/>
      <c r="M100" s="1649"/>
      <c r="O100" s="1168"/>
      <c r="P100" s="1644"/>
      <c r="Q100" s="1644"/>
      <c r="R100" s="1168"/>
      <c r="S100" s="1168"/>
      <c r="T100" s="1168"/>
      <c r="U100" s="1168"/>
      <c r="V100" s="1644"/>
      <c r="W100" s="1168"/>
      <c r="X100" s="1168"/>
      <c r="Y100" s="552"/>
      <c r="Z100" s="1168"/>
      <c r="AA100" s="1168"/>
      <c r="AB100" s="1168"/>
      <c r="AC100" s="1168"/>
      <c r="AD100" s="1168"/>
      <c r="AE100" s="1640"/>
      <c r="AF100" s="574"/>
      <c r="AG100" s="574"/>
      <c r="AH100" s="574"/>
      <c r="AI100" s="574"/>
      <c r="AJ100" s="1649">
        <v>11</v>
      </c>
    </row>
    <row s="1649" customFormat="1" customHeight="1" ht="11.549999999999999">
      <c r="A101" s="995"/>
      <c r="B101" s="1644"/>
      <c r="C101" s="1644"/>
      <c r="D101" s="359"/>
      <c r="J101" s="1649"/>
      <c r="K101" s="1649"/>
      <c r="L101" s="1649"/>
      <c r="M101" s="1649"/>
      <c r="O101" s="1168"/>
      <c r="P101" s="1644"/>
      <c r="Q101" s="1644"/>
      <c r="R101" s="1168"/>
      <c r="S101" s="1168"/>
      <c r="T101" s="1168"/>
      <c r="U101" s="1168"/>
      <c r="V101" s="1644"/>
      <c r="W101" s="1168"/>
      <c r="X101" s="1168"/>
      <c r="Y101" s="552"/>
      <c r="Z101" s="1168"/>
      <c r="AA101" s="1168"/>
      <c r="AB101" s="1168"/>
      <c r="AC101" s="1168"/>
      <c r="AD101" s="1168"/>
      <c r="AE101" s="1640"/>
      <c r="AF101" s="574"/>
      <c r="AG101" s="574"/>
      <c r="AH101" s="574"/>
      <c r="AI101" s="574"/>
      <c r="AJ101" s="1649">
        <v>11</v>
      </c>
    </row>
    <row s="1649" customFormat="1" customHeight="1" ht="11.549999999999999">
      <c r="A102" s="995"/>
      <c r="B102" s="1644"/>
      <c r="C102" s="1644"/>
      <c r="D102" s="359"/>
      <c r="J102" s="1649"/>
      <c r="K102" s="1649"/>
      <c r="L102" s="1649"/>
      <c r="M102" s="1649"/>
      <c r="O102" s="1168"/>
      <c r="P102" s="1644"/>
      <c r="Q102" s="1644"/>
      <c r="R102" s="1168"/>
      <c r="S102" s="1168"/>
      <c r="T102" s="1168"/>
      <c r="U102" s="1168"/>
      <c r="V102" s="1644"/>
      <c r="W102" s="1168"/>
      <c r="X102" s="1168"/>
      <c r="Y102" s="552"/>
      <c r="Z102" s="1168"/>
      <c r="AA102" s="1168"/>
      <c r="AB102" s="1168"/>
      <c r="AC102" s="1168"/>
      <c r="AD102" s="1168"/>
      <c r="AE102" s="1640"/>
      <c r="AF102" s="574"/>
      <c r="AG102" s="574"/>
      <c r="AH102" s="574"/>
      <c r="AI102" s="574"/>
      <c r="AJ102" s="1649">
        <v>11</v>
      </c>
    </row>
    <row s="1649" customFormat="1" customHeight="1" ht="11.549999999999999">
      <c r="A103" s="995"/>
      <c r="B103" s="1644"/>
      <c r="C103" s="1644"/>
      <c r="D103" s="359"/>
      <c r="J103" s="1649"/>
      <c r="K103" s="1649"/>
      <c r="L103" s="1649"/>
      <c r="M103" s="1649"/>
      <c r="O103" s="1168"/>
      <c r="P103" s="1644"/>
      <c r="Q103" s="1644"/>
      <c r="R103" s="1168"/>
      <c r="S103" s="1168"/>
      <c r="T103" s="1168"/>
      <c r="U103" s="1168"/>
      <c r="V103" s="1644"/>
      <c r="W103" s="1168"/>
      <c r="X103" s="1168"/>
      <c r="Y103" s="552"/>
      <c r="Z103" s="1168"/>
      <c r="AA103" s="1168"/>
      <c r="AB103" s="1168"/>
      <c r="AC103" s="1168"/>
      <c r="AD103" s="1168"/>
      <c r="AE103" s="1640"/>
      <c r="AF103" s="574"/>
      <c r="AG103" s="574"/>
      <c r="AH103" s="574"/>
      <c r="AI103" s="574"/>
      <c r="AJ103" s="1649">
        <v>11</v>
      </c>
    </row>
    <row s="1649" customFormat="1" customHeight="1" ht="11.549999999999999">
      <c r="A104" s="995"/>
      <c r="B104" s="1644"/>
      <c r="C104" s="1644"/>
      <c r="D104" s="359"/>
      <c r="J104" s="1649"/>
      <c r="K104" s="1649"/>
      <c r="L104" s="1649"/>
      <c r="M104" s="1649"/>
      <c r="O104" s="1168"/>
      <c r="P104" s="1644"/>
      <c r="Q104" s="1644"/>
      <c r="R104" s="1168"/>
      <c r="S104" s="1168"/>
      <c r="T104" s="1168"/>
      <c r="U104" s="1168"/>
      <c r="V104" s="1644"/>
      <c r="W104" s="1168"/>
      <c r="X104" s="1168"/>
      <c r="Y104" s="552"/>
      <c r="Z104" s="1168"/>
      <c r="AA104" s="1168"/>
      <c r="AB104" s="1168"/>
      <c r="AC104" s="1168"/>
      <c r="AD104" s="1168"/>
      <c r="AE104" s="1640"/>
      <c r="AF104" s="574"/>
      <c r="AG104" s="574"/>
      <c r="AH104" s="574"/>
      <c r="AI104" s="574"/>
      <c r="AJ104" s="1649">
        <v>11</v>
      </c>
    </row>
    <row s="1649" customFormat="1" customHeight="1" ht="11.549999999999999">
      <c r="A105" s="995"/>
      <c r="B105" s="1644"/>
      <c r="C105" s="1644"/>
      <c r="D105" s="359"/>
      <c r="J105" s="1649"/>
      <c r="K105" s="1649"/>
      <c r="L105" s="1649"/>
      <c r="M105" s="1649"/>
      <c r="O105" s="1168"/>
      <c r="P105" s="1644"/>
      <c r="Q105" s="1644"/>
      <c r="R105" s="1168"/>
      <c r="S105" s="1168"/>
      <c r="T105" s="1168"/>
      <c r="U105" s="1168"/>
      <c r="V105" s="1644"/>
      <c r="W105" s="1168"/>
      <c r="X105" s="1168"/>
      <c r="Y105" s="552"/>
      <c r="Z105" s="1168"/>
      <c r="AA105" s="1168"/>
      <c r="AB105" s="1168"/>
      <c r="AC105" s="1168"/>
      <c r="AD105" s="1168"/>
      <c r="AE105" s="1640"/>
      <c r="AF105" s="574"/>
      <c r="AG105" s="574"/>
      <c r="AH105" s="574"/>
      <c r="AI105" s="574"/>
      <c r="AJ105" s="1649">
        <v>11</v>
      </c>
    </row>
    <row s="1649" customFormat="1" customHeight="1" ht="11.549999999999999">
      <c r="A106" s="995"/>
      <c r="B106" s="1644"/>
      <c r="C106" s="1644"/>
      <c r="D106" s="359"/>
      <c r="J106" s="1649"/>
      <c r="K106" s="1649"/>
      <c r="L106" s="1649"/>
      <c r="M106" s="1649"/>
      <c r="O106" s="1168"/>
      <c r="P106" s="1644"/>
      <c r="Q106" s="1644"/>
      <c r="R106" s="1168"/>
      <c r="S106" s="1168"/>
      <c r="T106" s="1168"/>
      <c r="U106" s="1168"/>
      <c r="V106" s="1644"/>
      <c r="W106" s="1168"/>
      <c r="X106" s="1168"/>
      <c r="Y106" s="552"/>
      <c r="Z106" s="1168"/>
      <c r="AA106" s="1168"/>
      <c r="AB106" s="1168"/>
      <c r="AC106" s="1168"/>
      <c r="AD106" s="1168"/>
      <c r="AE106" s="1640"/>
      <c r="AF106" s="574"/>
      <c r="AG106" s="574"/>
      <c r="AH106" s="574"/>
      <c r="AI106" s="574"/>
      <c r="AJ106" s="1649">
        <v>11</v>
      </c>
    </row>
    <row s="1649" customFormat="1" customHeight="1" ht="11.549999999999999">
      <c r="A107" s="995"/>
      <c r="B107" s="1644"/>
      <c r="C107" s="1644"/>
      <c r="D107" s="359"/>
      <c r="J107" s="1649"/>
      <c r="K107" s="1649"/>
      <c r="L107" s="1649"/>
      <c r="M107" s="1649"/>
      <c r="O107" s="1168"/>
      <c r="P107" s="1644"/>
      <c r="Q107" s="1644"/>
      <c r="R107" s="1168"/>
      <c r="S107" s="1168"/>
      <c r="T107" s="1168"/>
      <c r="U107" s="1168"/>
      <c r="V107" s="1644"/>
      <c r="W107" s="1168"/>
      <c r="X107" s="1168"/>
      <c r="Y107" s="552"/>
      <c r="Z107" s="1168"/>
      <c r="AA107" s="1168"/>
      <c r="AB107" s="1168"/>
      <c r="AC107" s="1168"/>
      <c r="AD107" s="1168"/>
      <c r="AE107" s="1640"/>
      <c r="AF107" s="574"/>
      <c r="AG107" s="574"/>
      <c r="AH107" s="574"/>
      <c r="AI107" s="574"/>
      <c r="AJ107" s="1649">
        <v>11</v>
      </c>
    </row>
    <row s="1649" customFormat="1" customHeight="1" ht="11.549999999999999">
      <c r="A108" s="995"/>
      <c r="B108" s="1644"/>
      <c r="C108" s="1644"/>
      <c r="D108" s="359"/>
      <c r="J108" s="1649"/>
      <c r="K108" s="1649"/>
      <c r="L108" s="1649"/>
      <c r="M108" s="1649"/>
      <c r="O108" s="1168"/>
      <c r="P108" s="1644"/>
      <c r="Q108" s="1644"/>
      <c r="R108" s="1168"/>
      <c r="S108" s="1168"/>
      <c r="T108" s="1168"/>
      <c r="U108" s="1168"/>
      <c r="V108" s="1644"/>
      <c r="W108" s="1168"/>
      <c r="X108" s="1168"/>
      <c r="Y108" s="552"/>
      <c r="Z108" s="1168"/>
      <c r="AA108" s="1168"/>
      <c r="AB108" s="1168"/>
      <c r="AC108" s="1168"/>
      <c r="AD108" s="1168"/>
      <c r="AE108" s="1640"/>
      <c r="AF108" s="574"/>
      <c r="AG108" s="574"/>
      <c r="AH108" s="574"/>
      <c r="AI108" s="574"/>
      <c r="AJ108" s="1649">
        <v>11</v>
      </c>
    </row>
    <row s="1649" customFormat="1" customHeight="1" ht="11.549999999999999">
      <c r="A109" s="995"/>
      <c r="B109" s="1644"/>
      <c r="C109" s="1644"/>
      <c r="D109" s="359"/>
      <c r="J109" s="1649"/>
      <c r="K109" s="1649"/>
      <c r="L109" s="1649"/>
      <c r="M109" s="1649"/>
      <c r="O109" s="1168"/>
      <c r="P109" s="1644"/>
      <c r="Q109" s="1644"/>
      <c r="R109" s="1168"/>
      <c r="S109" s="1168"/>
      <c r="T109" s="1168"/>
      <c r="U109" s="1168"/>
      <c r="V109" s="1644"/>
      <c r="W109" s="1168"/>
      <c r="X109" s="1168"/>
      <c r="Y109" s="552"/>
      <c r="Z109" s="1168"/>
      <c r="AA109" s="1168"/>
      <c r="AB109" s="1168"/>
      <c r="AC109" s="1168"/>
      <c r="AD109" s="1168"/>
      <c r="AE109" s="1640"/>
      <c r="AF109" s="574"/>
      <c r="AG109" s="574"/>
      <c r="AH109" s="574"/>
      <c r="AI109" s="574"/>
      <c r="AJ109" s="1649">
        <v>11</v>
      </c>
    </row>
    <row s="1649" customFormat="1" customHeight="1" ht="11.549999999999999">
      <c r="A110" s="995"/>
      <c r="B110" s="1644"/>
      <c r="C110" s="1644"/>
      <c r="D110" s="359"/>
      <c r="J110" s="1649"/>
      <c r="K110" s="1649"/>
      <c r="L110" s="1649"/>
      <c r="M110" s="1649"/>
      <c r="O110" s="1168"/>
      <c r="P110" s="1644"/>
      <c r="Q110" s="1644"/>
      <c r="R110" s="1168"/>
      <c r="S110" s="1168"/>
      <c r="T110" s="1168"/>
      <c r="U110" s="1168"/>
      <c r="V110" s="1644"/>
      <c r="W110" s="1168"/>
      <c r="X110" s="1168"/>
      <c r="Y110" s="552"/>
      <c r="Z110" s="1168"/>
      <c r="AA110" s="1168"/>
      <c r="AB110" s="1168"/>
      <c r="AC110" s="1168"/>
      <c r="AD110" s="1168"/>
      <c r="AE110" s="1640"/>
      <c r="AF110" s="574"/>
      <c r="AG110" s="574"/>
      <c r="AH110" s="574"/>
      <c r="AI110" s="574"/>
      <c r="AJ110" s="1649">
        <v>11</v>
      </c>
    </row>
    <row s="1649" customFormat="1" customHeight="1" ht="11.549999999999999">
      <c r="A111" s="995"/>
      <c r="B111" s="1644"/>
      <c r="C111" s="1644"/>
      <c r="D111" s="359"/>
      <c r="J111" s="1649"/>
      <c r="K111" s="1649"/>
      <c r="L111" s="1649"/>
      <c r="M111" s="1649"/>
      <c r="O111" s="1168"/>
      <c r="P111" s="1644"/>
      <c r="Q111" s="1644"/>
      <c r="R111" s="1168"/>
      <c r="S111" s="1168"/>
      <c r="T111" s="1168"/>
      <c r="U111" s="1168"/>
      <c r="V111" s="1644"/>
      <c r="W111" s="1168"/>
      <c r="X111" s="1168"/>
      <c r="Y111" s="552"/>
      <c r="Z111" s="1168"/>
      <c r="AA111" s="1168"/>
      <c r="AB111" s="1168"/>
      <c r="AC111" s="1168"/>
      <c r="AD111" s="1168"/>
      <c r="AE111" s="1640"/>
      <c r="AF111" s="574"/>
      <c r="AG111" s="574"/>
      <c r="AH111" s="574"/>
      <c r="AI111" s="574"/>
      <c r="AJ111" s="1649">
        <v>11</v>
      </c>
    </row>
    <row s="1649" customFormat="1" customHeight="1" ht="11.549999999999999">
      <c r="A112" s="995"/>
      <c r="B112" s="1644"/>
      <c r="C112" s="1644"/>
      <c r="D112" s="359"/>
      <c r="J112" s="1649"/>
      <c r="K112" s="1649"/>
      <c r="L112" s="1649"/>
      <c r="M112" s="1649"/>
      <c r="O112" s="1168"/>
      <c r="P112" s="1644"/>
      <c r="Q112" s="1644"/>
      <c r="R112" s="1168"/>
      <c r="S112" s="1168"/>
      <c r="T112" s="1168"/>
      <c r="U112" s="1168"/>
      <c r="V112" s="1644"/>
      <c r="W112" s="1168"/>
      <c r="X112" s="1168"/>
      <c r="Y112" s="552"/>
      <c r="Z112" s="1168"/>
      <c r="AA112" s="1168"/>
      <c r="AB112" s="1168"/>
      <c r="AC112" s="1168"/>
      <c r="AD112" s="1168"/>
      <c r="AE112" s="1640"/>
      <c r="AF112" s="574"/>
      <c r="AG112" s="574"/>
      <c r="AH112" s="574"/>
      <c r="AI112" s="574"/>
      <c r="AJ112" s="1649">
        <v>11</v>
      </c>
    </row>
    <row s="1649" customFormat="1" customHeight="1" ht="11.549999999999999">
      <c r="A113" s="995"/>
      <c r="B113" s="1644"/>
      <c r="C113" s="1644"/>
      <c r="D113" s="359"/>
      <c r="J113" s="1649"/>
      <c r="K113" s="1649"/>
      <c r="L113" s="1649"/>
      <c r="M113" s="1649"/>
      <c r="O113" s="1168"/>
      <c r="P113" s="1644"/>
      <c r="Q113" s="1644"/>
      <c r="R113" s="1168"/>
      <c r="S113" s="1168"/>
      <c r="T113" s="1168"/>
      <c r="U113" s="1168"/>
      <c r="V113" s="1644"/>
      <c r="W113" s="1168"/>
      <c r="X113" s="1168"/>
      <c r="Y113" s="552"/>
      <c r="Z113" s="1168"/>
      <c r="AA113" s="1168"/>
      <c r="AB113" s="1168"/>
      <c r="AC113" s="1168"/>
      <c r="AD113" s="1168"/>
      <c r="AE113" s="1640"/>
      <c r="AF113" s="574"/>
      <c r="AG113" s="574"/>
      <c r="AH113" s="574"/>
      <c r="AI113" s="574"/>
      <c r="AJ113" s="1649">
        <v>11</v>
      </c>
    </row>
    <row s="1649" customFormat="1" customHeight="1" ht="11.549999999999999">
      <c r="A114" s="995"/>
      <c r="B114" s="1644"/>
      <c r="C114" s="1644"/>
      <c r="D114" s="359"/>
      <c r="J114" s="1649"/>
      <c r="K114" s="1649"/>
      <c r="L114" s="1649"/>
      <c r="M114" s="1649"/>
      <c r="O114" s="1168"/>
      <c r="P114" s="1644"/>
      <c r="Q114" s="1644"/>
      <c r="R114" s="1168"/>
      <c r="S114" s="1168"/>
      <c r="T114" s="1168"/>
      <c r="U114" s="1168"/>
      <c r="V114" s="1644"/>
      <c r="W114" s="1168"/>
      <c r="X114" s="1168"/>
      <c r="Y114" s="552"/>
      <c r="Z114" s="1168"/>
      <c r="AA114" s="1168"/>
      <c r="AB114" s="1168"/>
      <c r="AC114" s="1168"/>
      <c r="AD114" s="1168"/>
      <c r="AE114" s="1640"/>
      <c r="AF114" s="574"/>
      <c r="AG114" s="574"/>
      <c r="AH114" s="574"/>
      <c r="AI114" s="574"/>
      <c r="AJ114" s="1649">
        <v>11</v>
      </c>
    </row>
    <row s="1649" customFormat="1" customHeight="1" ht="11.549999999999999">
      <c r="A115" s="995"/>
      <c r="B115" s="1644"/>
      <c r="C115" s="1644"/>
      <c r="D115" s="359"/>
      <c r="J115" s="1649"/>
      <c r="K115" s="1649"/>
      <c r="L115" s="1649"/>
      <c r="M115" s="1649"/>
      <c r="O115" s="1168"/>
      <c r="P115" s="1644"/>
      <c r="Q115" s="1644"/>
      <c r="R115" s="1168"/>
      <c r="S115" s="1168"/>
      <c r="T115" s="1168"/>
      <c r="U115" s="1168"/>
      <c r="V115" s="1644"/>
      <c r="W115" s="1168"/>
      <c r="X115" s="1168"/>
      <c r="Y115" s="552"/>
      <c r="Z115" s="1168"/>
      <c r="AA115" s="1168"/>
      <c r="AB115" s="1168"/>
      <c r="AC115" s="1168"/>
      <c r="AD115" s="1168"/>
      <c r="AE115" s="1640"/>
      <c r="AF115" s="574"/>
      <c r="AG115" s="574"/>
      <c r="AH115" s="574"/>
      <c r="AI115" s="574"/>
      <c r="AJ115" s="1649">
        <v>11</v>
      </c>
    </row>
    <row s="1649" customFormat="1" customHeight="1" ht="11.549999999999999">
      <c r="A116" s="995"/>
      <c r="B116" s="1644"/>
      <c r="C116" s="1644"/>
      <c r="D116" s="359"/>
      <c r="J116" s="1649"/>
      <c r="K116" s="1649"/>
      <c r="L116" s="1649"/>
      <c r="M116" s="1649"/>
      <c r="O116" s="1168"/>
      <c r="P116" s="1644"/>
      <c r="Q116" s="1644"/>
      <c r="R116" s="1168"/>
      <c r="S116" s="1168"/>
      <c r="T116" s="1168"/>
      <c r="U116" s="1168"/>
      <c r="V116" s="1644"/>
      <c r="W116" s="1168"/>
      <c r="X116" s="1168"/>
      <c r="Y116" s="552"/>
      <c r="Z116" s="1168"/>
      <c r="AA116" s="1168"/>
      <c r="AB116" s="1168"/>
      <c r="AC116" s="1168"/>
      <c r="AD116" s="1168"/>
      <c r="AE116" s="1640"/>
      <c r="AF116" s="574"/>
      <c r="AG116" s="574"/>
      <c r="AH116" s="574"/>
      <c r="AI116" s="574"/>
      <c r="AJ116" s="1649">
        <v>11</v>
      </c>
    </row>
    <row s="1649" customFormat="1" customHeight="1" ht="11.549999999999999">
      <c r="A117" s="995"/>
      <c r="B117" s="1644"/>
      <c r="C117" s="1644"/>
      <c r="D117" s="359"/>
      <c r="J117" s="1649"/>
      <c r="K117" s="1649"/>
      <c r="L117" s="1649"/>
      <c r="M117" s="1649"/>
      <c r="O117" s="1168"/>
      <c r="P117" s="1644"/>
      <c r="Q117" s="1644"/>
      <c r="R117" s="1168"/>
      <c r="S117" s="1168"/>
      <c r="T117" s="1168"/>
      <c r="U117" s="1168"/>
      <c r="V117" s="1644"/>
      <c r="W117" s="1168"/>
      <c r="X117" s="1168"/>
      <c r="Y117" s="552"/>
      <c r="Z117" s="1168"/>
      <c r="AA117" s="1168"/>
      <c r="AB117" s="1168"/>
      <c r="AC117" s="1168"/>
      <c r="AD117" s="1168"/>
      <c r="AE117" s="1640"/>
      <c r="AF117" s="574"/>
      <c r="AG117" s="574"/>
      <c r="AH117" s="574"/>
      <c r="AI117" s="574"/>
      <c r="AJ117" s="1649">
        <v>11</v>
      </c>
    </row>
    <row s="1649" customFormat="1" customHeight="1" ht="11.549999999999999">
      <c r="A118" s="995"/>
      <c r="B118" s="1644"/>
      <c r="C118" s="1644"/>
      <c r="D118" s="359"/>
      <c r="J118" s="1649"/>
      <c r="K118" s="1649"/>
      <c r="L118" s="1649"/>
      <c r="M118" s="1649"/>
      <c r="O118" s="1168"/>
      <c r="P118" s="1644"/>
      <c r="Q118" s="1644"/>
      <c r="R118" s="1168"/>
      <c r="S118" s="1168"/>
      <c r="T118" s="1168"/>
      <c r="U118" s="1168"/>
      <c r="V118" s="1644"/>
      <c r="W118" s="1168"/>
      <c r="X118" s="1168"/>
      <c r="Y118" s="552"/>
      <c r="Z118" s="1168"/>
      <c r="AA118" s="1168"/>
      <c r="AB118" s="1168"/>
      <c r="AC118" s="1168"/>
      <c r="AD118" s="1168"/>
      <c r="AE118" s="1640"/>
      <c r="AF118" s="574"/>
      <c r="AG118" s="574"/>
      <c r="AH118" s="574"/>
      <c r="AI118" s="574"/>
      <c r="AJ118" s="1649">
        <v>11</v>
      </c>
    </row>
    <row s="1649" customFormat="1" customHeight="1" ht="11.549999999999999">
      <c r="A119" s="995"/>
      <c r="B119" s="1644"/>
      <c r="C119" s="1644"/>
      <c r="D119" s="359"/>
      <c r="J119" s="1649"/>
      <c r="K119" s="1649"/>
      <c r="L119" s="1649"/>
      <c r="M119" s="1649"/>
      <c r="O119" s="1168"/>
      <c r="P119" s="1644"/>
      <c r="Q119" s="1644"/>
      <c r="R119" s="1168"/>
      <c r="S119" s="1168"/>
      <c r="T119" s="1168"/>
      <c r="U119" s="1168"/>
      <c r="V119" s="1644"/>
      <c r="W119" s="1168"/>
      <c r="X119" s="1168"/>
      <c r="Y119" s="552"/>
      <c r="Z119" s="1168"/>
      <c r="AA119" s="1168"/>
      <c r="AB119" s="1168"/>
      <c r="AC119" s="1168"/>
      <c r="AD119" s="1168"/>
      <c r="AE119" s="1640"/>
      <c r="AF119" s="574"/>
      <c r="AG119" s="574"/>
      <c r="AH119" s="574"/>
      <c r="AI119" s="574"/>
      <c r="AJ119" s="1649">
        <v>11</v>
      </c>
    </row>
    <row s="1649" customFormat="1" customHeight="1" ht="11.549999999999999">
      <c r="A120" s="995"/>
      <c r="B120" s="1644"/>
      <c r="C120" s="1644"/>
      <c r="D120" s="359"/>
      <c r="J120" s="1649"/>
      <c r="K120" s="1649"/>
      <c r="L120" s="1649"/>
      <c r="M120" s="1649"/>
      <c r="O120" s="1168"/>
      <c r="P120" s="1644"/>
      <c r="Q120" s="1644"/>
      <c r="R120" s="1168"/>
      <c r="S120" s="1168"/>
      <c r="T120" s="1168"/>
      <c r="U120" s="1168"/>
      <c r="V120" s="1644"/>
      <c r="W120" s="1168"/>
      <c r="X120" s="1168"/>
      <c r="Y120" s="552"/>
      <c r="Z120" s="1168"/>
      <c r="AA120" s="1168"/>
      <c r="AB120" s="1168"/>
      <c r="AC120" s="1168"/>
      <c r="AD120" s="1168"/>
      <c r="AE120" s="1640"/>
      <c r="AF120" s="574"/>
      <c r="AG120" s="574"/>
      <c r="AH120" s="574"/>
      <c r="AI120" s="574"/>
      <c r="AJ120" s="1649">
        <v>11</v>
      </c>
    </row>
    <row s="1649" customFormat="1" customHeight="1" ht="11.549999999999999">
      <c r="A121" s="995"/>
      <c r="B121" s="1644"/>
      <c r="C121" s="1644"/>
      <c r="D121" s="359"/>
      <c r="J121" s="1649"/>
      <c r="K121" s="1649"/>
      <c r="L121" s="1649"/>
      <c r="M121" s="1649"/>
      <c r="O121" s="1168"/>
      <c r="P121" s="1644"/>
      <c r="Q121" s="1644"/>
      <c r="R121" s="1168"/>
      <c r="S121" s="1168"/>
      <c r="T121" s="1168"/>
      <c r="U121" s="1168"/>
      <c r="V121" s="1644"/>
      <c r="W121" s="1168"/>
      <c r="X121" s="1168"/>
      <c r="Y121" s="552"/>
      <c r="Z121" s="1168"/>
      <c r="AA121" s="1168"/>
      <c r="AB121" s="1168"/>
      <c r="AC121" s="1168"/>
      <c r="AD121" s="1168"/>
      <c r="AE121" s="1640"/>
      <c r="AF121" s="574"/>
      <c r="AG121" s="574"/>
      <c r="AH121" s="574"/>
      <c r="AI121" s="574"/>
      <c r="AJ121" s="1649">
        <v>11</v>
      </c>
    </row>
    <row s="1649" customFormat="1" customHeight="1" ht="11.549999999999999">
      <c r="A122" s="995"/>
      <c r="B122" s="1644"/>
      <c r="C122" s="1644"/>
      <c r="D122" s="359"/>
      <c r="J122" s="1649"/>
      <c r="K122" s="1649"/>
      <c r="L122" s="1649"/>
      <c r="M122" s="1649"/>
      <c r="O122" s="1168"/>
      <c r="P122" s="1644"/>
      <c r="Q122" s="1644"/>
      <c r="R122" s="1168"/>
      <c r="S122" s="1168"/>
      <c r="T122" s="1168"/>
      <c r="U122" s="1168"/>
      <c r="V122" s="1644"/>
      <c r="W122" s="1168"/>
      <c r="X122" s="1168"/>
      <c r="Y122" s="552"/>
      <c r="Z122" s="1168"/>
      <c r="AA122" s="1168"/>
      <c r="AB122" s="1168"/>
      <c r="AC122" s="1168"/>
      <c r="AD122" s="1168"/>
      <c r="AE122" s="1640"/>
      <c r="AF122" s="574"/>
      <c r="AG122" s="574"/>
      <c r="AH122" s="574"/>
      <c r="AI122" s="574"/>
      <c r="AJ122" s="1649">
        <v>11</v>
      </c>
    </row>
    <row s="1649" customFormat="1" customHeight="1" ht="11.549999999999999">
      <c r="A123" s="995"/>
      <c r="B123" s="1644"/>
      <c r="C123" s="1644"/>
      <c r="D123" s="359"/>
      <c r="J123" s="1649"/>
      <c r="K123" s="1649"/>
      <c r="L123" s="1649"/>
      <c r="M123" s="1649"/>
      <c r="O123" s="1168"/>
      <c r="P123" s="1644"/>
      <c r="Q123" s="1644"/>
      <c r="R123" s="1168"/>
      <c r="S123" s="1168"/>
      <c r="T123" s="1168"/>
      <c r="U123" s="1168"/>
      <c r="V123" s="1644"/>
      <c r="W123" s="1168"/>
      <c r="X123" s="1168"/>
      <c r="Y123" s="552"/>
      <c r="Z123" s="1168"/>
      <c r="AA123" s="1168"/>
      <c r="AB123" s="1168"/>
      <c r="AC123" s="1168"/>
      <c r="AD123" s="1168"/>
      <c r="AE123" s="1640"/>
      <c r="AF123" s="574"/>
      <c r="AG123" s="574"/>
      <c r="AH123" s="574"/>
      <c r="AI123" s="574"/>
      <c r="AJ123" s="1649">
        <v>11</v>
      </c>
    </row>
    <row s="1649" customFormat="1" customHeight="1" ht="11.549999999999999">
      <c r="A124" s="995"/>
      <c r="B124" s="1644"/>
      <c r="C124" s="1644"/>
      <c r="D124" s="359"/>
      <c r="J124" s="1649"/>
      <c r="K124" s="1649"/>
      <c r="L124" s="1649"/>
      <c r="M124" s="1649"/>
      <c r="O124" s="1168"/>
      <c r="P124" s="1644"/>
      <c r="Q124" s="1644"/>
      <c r="R124" s="1168"/>
      <c r="S124" s="1168"/>
      <c r="T124" s="1168"/>
      <c r="U124" s="1168"/>
      <c r="V124" s="1644"/>
      <c r="W124" s="1168"/>
      <c r="X124" s="1168"/>
      <c r="Y124" s="552"/>
      <c r="Z124" s="1168"/>
      <c r="AA124" s="1168"/>
      <c r="AB124" s="1168"/>
      <c r="AC124" s="1168"/>
      <c r="AD124" s="1168"/>
      <c r="AE124" s="1640"/>
      <c r="AF124" s="574"/>
      <c r="AG124" s="574"/>
      <c r="AH124" s="574"/>
      <c r="AI124" s="574"/>
      <c r="AJ124" s="1649">
        <v>11</v>
      </c>
    </row>
    <row s="1649" customFormat="1" customHeight="1" ht="11.549999999999999">
      <c r="A125" s="995"/>
      <c r="B125" s="1644"/>
      <c r="C125" s="1644"/>
      <c r="D125" s="359"/>
      <c r="J125" s="1649"/>
      <c r="K125" s="1649"/>
      <c r="L125" s="1649"/>
      <c r="M125" s="1649"/>
      <c r="O125" s="1168"/>
      <c r="P125" s="1644"/>
      <c r="Q125" s="1644"/>
      <c r="R125" s="1168"/>
      <c r="S125" s="1168"/>
      <c r="T125" s="1168"/>
      <c r="U125" s="1168"/>
      <c r="V125" s="1644"/>
      <c r="W125" s="1168"/>
      <c r="X125" s="1168"/>
      <c r="Y125" s="552"/>
      <c r="Z125" s="1168"/>
      <c r="AA125" s="1168"/>
      <c r="AB125" s="1168"/>
      <c r="AC125" s="1168"/>
      <c r="AD125" s="1168"/>
      <c r="AE125" s="1640"/>
      <c r="AF125" s="574"/>
      <c r="AG125" s="574"/>
      <c r="AH125" s="574"/>
      <c r="AI125" s="574"/>
      <c r="AJ125" s="1649">
        <v>11</v>
      </c>
    </row>
    <row s="1649" customFormat="1" customHeight="1" ht="11.549999999999999">
      <c r="A126" s="995"/>
      <c r="B126" s="1644"/>
      <c r="C126" s="1644"/>
      <c r="D126" s="359"/>
      <c r="J126" s="1649"/>
      <c r="K126" s="1649"/>
      <c r="L126" s="1649"/>
      <c r="M126" s="1649"/>
      <c r="O126" s="1168"/>
      <c r="P126" s="1644"/>
      <c r="Q126" s="1644"/>
      <c r="R126" s="1168"/>
      <c r="S126" s="1168"/>
      <c r="T126" s="1168"/>
      <c r="U126" s="1168"/>
      <c r="V126" s="1644"/>
      <c r="W126" s="1168"/>
      <c r="X126" s="1168"/>
      <c r="Y126" s="552"/>
      <c r="Z126" s="1168"/>
      <c r="AA126" s="1168"/>
      <c r="AB126" s="1168"/>
      <c r="AC126" s="1168"/>
      <c r="AD126" s="1168"/>
      <c r="AE126" s="1640"/>
      <c r="AF126" s="574"/>
      <c r="AG126" s="574"/>
      <c r="AH126" s="574"/>
      <c r="AI126" s="574"/>
      <c r="AJ126" s="1649">
        <v>11</v>
      </c>
    </row>
    <row s="1649" customFormat="1" customHeight="1" ht="11.549999999999999">
      <c r="A127" s="995"/>
      <c r="B127" s="1644"/>
      <c r="C127" s="1644"/>
      <c r="D127" s="359"/>
      <c r="J127" s="1649"/>
      <c r="K127" s="1649"/>
      <c r="L127" s="1649"/>
      <c r="M127" s="1649"/>
      <c r="O127" s="1168"/>
      <c r="P127" s="1644"/>
      <c r="Q127" s="1644"/>
      <c r="R127" s="1168"/>
      <c r="S127" s="1168"/>
      <c r="T127" s="1168"/>
      <c r="U127" s="1168"/>
      <c r="V127" s="1644"/>
      <c r="W127" s="1168"/>
      <c r="X127" s="1168"/>
      <c r="Y127" s="552"/>
      <c r="Z127" s="1168"/>
      <c r="AA127" s="1168"/>
      <c r="AB127" s="1168"/>
      <c r="AC127" s="1168"/>
      <c r="AD127" s="1168"/>
      <c r="AE127" s="1640"/>
      <c r="AF127" s="574"/>
      <c r="AG127" s="574"/>
      <c r="AH127" s="574"/>
      <c r="AI127" s="574"/>
      <c r="AJ127" s="1649">
        <v>11</v>
      </c>
    </row>
    <row s="1649" customFormat="1" customHeight="1" ht="11.549999999999999">
      <c r="A128" s="995"/>
      <c r="B128" s="1644"/>
      <c r="C128" s="1644"/>
      <c r="D128" s="359"/>
      <c r="J128" s="1649"/>
      <c r="K128" s="1649"/>
      <c r="L128" s="1649"/>
      <c r="M128" s="1649"/>
      <c r="O128" s="1168"/>
      <c r="P128" s="1644"/>
      <c r="Q128" s="1644"/>
      <c r="R128" s="1168"/>
      <c r="S128" s="1168"/>
      <c r="T128" s="1168"/>
      <c r="U128" s="1168"/>
      <c r="V128" s="1644"/>
      <c r="W128" s="1168"/>
      <c r="X128" s="1168"/>
      <c r="Y128" s="552"/>
      <c r="Z128" s="1168"/>
      <c r="AA128" s="1168"/>
      <c r="AB128" s="1168"/>
      <c r="AC128" s="1168"/>
      <c r="AD128" s="1168"/>
      <c r="AE128" s="1640"/>
      <c r="AF128" s="574"/>
      <c r="AG128" s="574"/>
      <c r="AH128" s="574"/>
      <c r="AI128" s="574"/>
      <c r="AJ128" s="1649">
        <v>11</v>
      </c>
    </row>
    <row s="1649" customFormat="1" customHeight="1" ht="11.549999999999999">
      <c r="A129" s="995"/>
      <c r="B129" s="1644"/>
      <c r="C129" s="1644"/>
      <c r="D129" s="359"/>
      <c r="J129" s="1649"/>
      <c r="K129" s="1649"/>
      <c r="L129" s="1649"/>
      <c r="M129" s="1649"/>
      <c r="O129" s="1168"/>
      <c r="P129" s="1644"/>
      <c r="Q129" s="1644"/>
      <c r="R129" s="1168"/>
      <c r="S129" s="1168"/>
      <c r="T129" s="1168"/>
      <c r="U129" s="1168"/>
      <c r="V129" s="1644"/>
      <c r="W129" s="1168"/>
      <c r="X129" s="1168"/>
      <c r="Y129" s="552"/>
      <c r="Z129" s="1168"/>
      <c r="AA129" s="1168"/>
      <c r="AB129" s="1168"/>
      <c r="AC129" s="1168"/>
      <c r="AD129" s="1168"/>
      <c r="AE129" s="1640"/>
      <c r="AF129" s="574"/>
      <c r="AG129" s="574"/>
      <c r="AH129" s="574"/>
      <c r="AI129" s="574"/>
      <c r="AJ129" s="1649">
        <v>11</v>
      </c>
    </row>
    <row s="1649" customFormat="1" customHeight="1" ht="11.549999999999999">
      <c r="A130" s="995"/>
      <c r="B130" s="1644"/>
      <c r="C130" s="1644"/>
      <c r="D130" s="359"/>
      <c r="J130" s="1649"/>
      <c r="K130" s="1649"/>
      <c r="L130" s="1649"/>
      <c r="M130" s="1649"/>
      <c r="O130" s="1168"/>
      <c r="P130" s="1644"/>
      <c r="Q130" s="1644"/>
      <c r="R130" s="1168"/>
      <c r="S130" s="1168"/>
      <c r="T130" s="1168"/>
      <c r="U130" s="1168"/>
      <c r="V130" s="1644"/>
      <c r="W130" s="1168"/>
      <c r="X130" s="1168"/>
      <c r="Y130" s="552"/>
      <c r="Z130" s="1168"/>
      <c r="AA130" s="1168"/>
      <c r="AB130" s="1168"/>
      <c r="AC130" s="1168"/>
      <c r="AD130" s="1168"/>
      <c r="AE130" s="1640"/>
      <c r="AF130" s="574"/>
      <c r="AG130" s="574"/>
      <c r="AH130" s="574"/>
      <c r="AI130" s="574"/>
      <c r="AJ130" s="1649">
        <v>11</v>
      </c>
    </row>
    <row s="1649" customFormat="1" customHeight="1" ht="11.549999999999999">
      <c r="A131" s="995"/>
      <c r="B131" s="1644"/>
      <c r="C131" s="1644"/>
      <c r="D131" s="359"/>
      <c r="J131" s="1649"/>
      <c r="K131" s="1649"/>
      <c r="L131" s="1649"/>
      <c r="M131" s="1649"/>
      <c r="O131" s="1168"/>
      <c r="P131" s="1644"/>
      <c r="Q131" s="1644"/>
      <c r="R131" s="1168"/>
      <c r="S131" s="1168"/>
      <c r="T131" s="1168"/>
      <c r="U131" s="1168"/>
      <c r="V131" s="1644"/>
      <c r="W131" s="1168"/>
      <c r="X131" s="1168"/>
      <c r="Y131" s="552"/>
      <c r="Z131" s="1168"/>
      <c r="AA131" s="1168"/>
      <c r="AB131" s="1168"/>
      <c r="AC131" s="1168"/>
      <c r="AD131" s="1168"/>
      <c r="AE131" s="1640"/>
      <c r="AF131" s="574"/>
      <c r="AG131" s="574"/>
      <c r="AH131" s="574"/>
      <c r="AI131" s="574"/>
      <c r="AJ131" s="1649">
        <v>11</v>
      </c>
    </row>
    <row s="1649" customFormat="1" customHeight="1" ht="11.549999999999999">
      <c r="A132" s="995"/>
      <c r="B132" s="1644"/>
      <c r="C132" s="1644"/>
      <c r="D132" s="359"/>
      <c r="J132" s="1649"/>
      <c r="K132" s="1649"/>
      <c r="L132" s="1649"/>
      <c r="M132" s="1649"/>
      <c r="O132" s="1168"/>
      <c r="P132" s="1644"/>
      <c r="Q132" s="1644"/>
      <c r="R132" s="1168"/>
      <c r="S132" s="1168"/>
      <c r="T132" s="1168"/>
      <c r="U132" s="1168"/>
      <c r="V132" s="1644"/>
      <c r="W132" s="1168"/>
      <c r="X132" s="1168"/>
      <c r="Y132" s="552"/>
      <c r="Z132" s="1168"/>
      <c r="AA132" s="1168"/>
      <c r="AB132" s="1168"/>
      <c r="AC132" s="1168"/>
      <c r="AD132" s="1168"/>
      <c r="AE132" s="1640"/>
      <c r="AF132" s="574"/>
      <c r="AG132" s="574"/>
      <c r="AH132" s="574"/>
      <c r="AI132" s="574"/>
      <c r="AJ132" s="1649">
        <v>11</v>
      </c>
    </row>
    <row s="1649" customFormat="1" customHeight="1" ht="11.549999999999999">
      <c r="A133" s="995"/>
      <c r="B133" s="1644"/>
      <c r="C133" s="1644"/>
      <c r="D133" s="359"/>
      <c r="J133" s="1649"/>
      <c r="K133" s="1649"/>
      <c r="L133" s="1649"/>
      <c r="M133" s="1649"/>
      <c r="O133" s="1168"/>
      <c r="P133" s="1644"/>
      <c r="Q133" s="1644"/>
      <c r="R133" s="1168"/>
      <c r="S133" s="1168"/>
      <c r="T133" s="1168"/>
      <c r="U133" s="1168"/>
      <c r="V133" s="1644"/>
      <c r="W133" s="1168"/>
      <c r="X133" s="1168"/>
      <c r="Y133" s="552"/>
      <c r="Z133" s="1168"/>
      <c r="AA133" s="1168"/>
      <c r="AB133" s="1168"/>
      <c r="AC133" s="1168"/>
      <c r="AD133" s="1168"/>
      <c r="AE133" s="1640"/>
      <c r="AF133" s="574"/>
      <c r="AG133" s="574"/>
      <c r="AH133" s="574"/>
      <c r="AI133" s="574"/>
      <c r="AJ133" s="1649">
        <v>11</v>
      </c>
    </row>
    <row s="1649" customFormat="1" customHeight="1" ht="11.549999999999999">
      <c r="A134" s="995"/>
      <c r="B134" s="1644"/>
      <c r="C134" s="1644"/>
      <c r="D134" s="359"/>
      <c r="J134" s="1649"/>
      <c r="K134" s="1649"/>
      <c r="L134" s="1649"/>
      <c r="M134" s="1649"/>
      <c r="O134" s="1168"/>
      <c r="P134" s="1644"/>
      <c r="Q134" s="1644"/>
      <c r="R134" s="1168"/>
      <c r="S134" s="1168"/>
      <c r="T134" s="1168"/>
      <c r="U134" s="1168"/>
      <c r="V134" s="1644"/>
      <c r="W134" s="1168"/>
      <c r="X134" s="1168"/>
      <c r="Y134" s="552"/>
      <c r="Z134" s="1168"/>
      <c r="AA134" s="1168"/>
      <c r="AB134" s="1168"/>
      <c r="AC134" s="1168"/>
      <c r="AD134" s="1168"/>
      <c r="AE134" s="1640"/>
      <c r="AF134" s="574"/>
      <c r="AG134" s="574"/>
      <c r="AH134" s="574"/>
      <c r="AI134" s="574"/>
      <c r="AJ134" s="1649">
        <v>11</v>
      </c>
    </row>
    <row s="1649" customFormat="1" customHeight="1" ht="11.549999999999999">
      <c r="A135" s="995"/>
      <c r="B135" s="1644"/>
      <c r="C135" s="1644"/>
      <c r="D135" s="359"/>
      <c r="J135" s="1649"/>
      <c r="K135" s="1649"/>
      <c r="L135" s="1649"/>
      <c r="M135" s="1649"/>
      <c r="O135" s="1168"/>
      <c r="P135" s="1644"/>
      <c r="Q135" s="1644"/>
      <c r="R135" s="1168"/>
      <c r="S135" s="1168"/>
      <c r="T135" s="1168"/>
      <c r="U135" s="1168"/>
      <c r="V135" s="1644"/>
      <c r="W135" s="1168"/>
      <c r="X135" s="1168"/>
      <c r="Y135" s="552"/>
      <c r="Z135" s="1168"/>
      <c r="AA135" s="1168"/>
      <c r="AB135" s="1168"/>
      <c r="AC135" s="1168"/>
      <c r="AD135" s="1168"/>
      <c r="AE135" s="1640"/>
      <c r="AF135" s="574"/>
      <c r="AG135" s="574"/>
      <c r="AH135" s="574"/>
      <c r="AI135" s="574"/>
      <c r="AJ135" s="1649">
        <v>11</v>
      </c>
    </row>
    <row s="1649" customFormat="1" customHeight="1" ht="11.549999999999999">
      <c r="A136" s="995"/>
      <c r="B136" s="1644"/>
      <c r="C136" s="1644"/>
      <c r="D136" s="359"/>
      <c r="J136" s="1649"/>
      <c r="K136" s="1649"/>
      <c r="L136" s="1649"/>
      <c r="M136" s="1649"/>
      <c r="O136" s="1168"/>
      <c r="P136" s="1644"/>
      <c r="Q136" s="1644"/>
      <c r="R136" s="1168"/>
      <c r="S136" s="1168"/>
      <c r="T136" s="1168"/>
      <c r="U136" s="1168"/>
      <c r="V136" s="1644"/>
      <c r="W136" s="1168"/>
      <c r="X136" s="1168"/>
      <c r="Y136" s="552"/>
      <c r="Z136" s="1168"/>
      <c r="AA136" s="1168"/>
      <c r="AB136" s="1168"/>
      <c r="AC136" s="1168"/>
      <c r="AD136" s="1168"/>
      <c r="AE136" s="1640"/>
      <c r="AF136" s="574"/>
      <c r="AG136" s="574"/>
      <c r="AH136" s="574"/>
      <c r="AI136" s="574"/>
      <c r="AJ136" s="1649">
        <v>11</v>
      </c>
    </row>
    <row s="1649" customFormat="1" customHeight="1" ht="11.549999999999999">
      <c r="A137" s="995"/>
      <c r="B137" s="1644"/>
      <c r="C137" s="1644"/>
      <c r="D137" s="359"/>
      <c r="J137" s="1649"/>
      <c r="K137" s="1649"/>
      <c r="L137" s="1649"/>
      <c r="M137" s="1649"/>
      <c r="O137" s="1168"/>
      <c r="P137" s="1644"/>
      <c r="Q137" s="1644"/>
      <c r="R137" s="1168"/>
      <c r="S137" s="1168"/>
      <c r="T137" s="1168"/>
      <c r="U137" s="1168"/>
      <c r="V137" s="1644"/>
      <c r="W137" s="1168"/>
      <c r="X137" s="1168"/>
      <c r="Y137" s="552"/>
      <c r="Z137" s="1168"/>
      <c r="AA137" s="1168"/>
      <c r="AB137" s="1168"/>
      <c r="AC137" s="1168"/>
      <c r="AD137" s="1168"/>
      <c r="AE137" s="1640"/>
      <c r="AF137" s="574"/>
      <c r="AG137" s="574"/>
      <c r="AH137" s="574"/>
      <c r="AI137" s="574"/>
      <c r="AJ137" s="1649">
        <v>11</v>
      </c>
    </row>
    <row s="1649" customFormat="1" customHeight="1" ht="11.549999999999999">
      <c r="A138" s="995"/>
      <c r="B138" s="1644"/>
      <c r="C138" s="1644"/>
      <c r="D138" s="359"/>
      <c r="J138" s="1649"/>
      <c r="K138" s="1649"/>
      <c r="L138" s="1649"/>
      <c r="M138" s="1649"/>
      <c r="O138" s="1168"/>
      <c r="P138" s="1644"/>
      <c r="Q138" s="1644"/>
      <c r="R138" s="1168"/>
      <c r="S138" s="1168"/>
      <c r="T138" s="1168"/>
      <c r="U138" s="1168"/>
      <c r="V138" s="1644"/>
      <c r="W138" s="1168"/>
      <c r="X138" s="1168"/>
      <c r="Y138" s="552"/>
      <c r="Z138" s="1168"/>
      <c r="AA138" s="1168"/>
      <c r="AB138" s="1168"/>
      <c r="AC138" s="1168"/>
      <c r="AD138" s="1168"/>
      <c r="AE138" s="1640"/>
      <c r="AF138" s="574"/>
      <c r="AG138" s="574"/>
      <c r="AH138" s="574"/>
      <c r="AI138" s="574"/>
      <c r="AJ138" s="1649">
        <v>11</v>
      </c>
    </row>
    <row s="1649" customFormat="1" customHeight="1" ht="11.549999999999999">
      <c r="A139" s="995"/>
      <c r="B139" s="1644"/>
      <c r="C139" s="1644"/>
      <c r="D139" s="359"/>
      <c r="J139" s="1649"/>
      <c r="K139" s="1649"/>
      <c r="L139" s="1649"/>
      <c r="M139" s="1649"/>
      <c r="O139" s="1168"/>
      <c r="P139" s="1644"/>
      <c r="Q139" s="1644"/>
      <c r="R139" s="1168"/>
      <c r="S139" s="1168"/>
      <c r="T139" s="1168"/>
      <c r="U139" s="1168"/>
      <c r="V139" s="1644"/>
      <c r="W139" s="1168"/>
      <c r="X139" s="1168"/>
      <c r="Y139" s="552"/>
      <c r="Z139" s="1168"/>
      <c r="AA139" s="1168"/>
      <c r="AB139" s="1168"/>
      <c r="AC139" s="1168"/>
      <c r="AD139" s="1168"/>
      <c r="AE139" s="1640"/>
      <c r="AF139" s="574"/>
      <c r="AG139" s="574"/>
      <c r="AH139" s="574"/>
      <c r="AI139" s="574"/>
      <c r="AJ139" s="1649">
        <v>11</v>
      </c>
    </row>
    <row s="1649" customFormat="1" customHeight="1" ht="11.549999999999999">
      <c r="A140" s="995"/>
      <c r="B140" s="1644"/>
      <c r="C140" s="1644"/>
      <c r="D140" s="359"/>
      <c r="J140" s="1649"/>
      <c r="K140" s="1649"/>
      <c r="L140" s="1649"/>
      <c r="M140" s="1649"/>
      <c r="O140" s="1168"/>
      <c r="P140" s="1644"/>
      <c r="Q140" s="1644"/>
      <c r="R140" s="1168"/>
      <c r="S140" s="1168"/>
      <c r="T140" s="1168"/>
      <c r="U140" s="1168"/>
      <c r="V140" s="1644"/>
      <c r="W140" s="1168"/>
      <c r="X140" s="1168"/>
      <c r="Y140" s="552"/>
      <c r="Z140" s="1168"/>
      <c r="AA140" s="1168"/>
      <c r="AB140" s="1168"/>
      <c r="AC140" s="1168"/>
      <c r="AD140" s="1168"/>
      <c r="AE140" s="1640"/>
      <c r="AF140" s="574"/>
      <c r="AG140" s="574"/>
      <c r="AH140" s="574"/>
      <c r="AI140" s="574"/>
      <c r="AJ140" s="1649">
        <v>11</v>
      </c>
    </row>
    <row s="1649" customFormat="1" customHeight="1" ht="11.549999999999999">
      <c r="A141" s="995"/>
      <c r="B141" s="1644"/>
      <c r="C141" s="1644"/>
      <c r="D141" s="359"/>
      <c r="J141" s="1649"/>
      <c r="K141" s="1649"/>
      <c r="L141" s="1649"/>
      <c r="M141" s="1649"/>
      <c r="O141" s="1168"/>
      <c r="P141" s="1644"/>
      <c r="Q141" s="1644"/>
      <c r="R141" s="1168"/>
      <c r="S141" s="1168"/>
      <c r="T141" s="1168"/>
      <c r="U141" s="1168"/>
      <c r="V141" s="1644"/>
      <c r="W141" s="1168"/>
      <c r="X141" s="1168"/>
      <c r="Y141" s="552"/>
      <c r="Z141" s="1168"/>
      <c r="AA141" s="1168"/>
      <c r="AB141" s="1168"/>
      <c r="AC141" s="1168"/>
      <c r="AD141" s="1168"/>
      <c r="AE141" s="1640"/>
      <c r="AF141" s="574"/>
      <c r="AG141" s="574"/>
      <c r="AH141" s="574"/>
      <c r="AI141" s="574"/>
      <c r="AJ141" s="1649">
        <v>11</v>
      </c>
    </row>
    <row s="1649" customFormat="1" customHeight="1" ht="11.549999999999999">
      <c r="A142" s="995"/>
      <c r="B142" s="1644"/>
      <c r="C142" s="1644"/>
      <c r="D142" s="359"/>
      <c r="J142" s="1649"/>
      <c r="K142" s="1649"/>
      <c r="L142" s="1649"/>
      <c r="M142" s="1649"/>
      <c r="O142" s="1168"/>
      <c r="P142" s="1644"/>
      <c r="Q142" s="1644"/>
      <c r="R142" s="1168"/>
      <c r="S142" s="1168"/>
      <c r="T142" s="1168"/>
      <c r="U142" s="1168"/>
      <c r="V142" s="1644"/>
      <c r="W142" s="1168"/>
      <c r="X142" s="1168"/>
      <c r="Y142" s="552"/>
      <c r="Z142" s="1168"/>
      <c r="AA142" s="1168"/>
      <c r="AB142" s="1168"/>
      <c r="AC142" s="1168"/>
      <c r="AD142" s="1168"/>
      <c r="AE142" s="1640"/>
      <c r="AF142" s="574"/>
      <c r="AG142" s="574"/>
      <c r="AH142" s="574"/>
      <c r="AI142" s="574"/>
      <c r="AJ142" s="1649">
        <v>11</v>
      </c>
    </row>
    <row s="1649" customFormat="1" customHeight="1" ht="11.549999999999999">
      <c r="A143" s="995"/>
      <c r="B143" s="1644"/>
      <c r="C143" s="1644"/>
      <c r="D143" s="359"/>
      <c r="J143" s="1649"/>
      <c r="K143" s="1649"/>
      <c r="L143" s="1649"/>
      <c r="M143" s="1649"/>
      <c r="O143" s="1168"/>
      <c r="P143" s="1644"/>
      <c r="Q143" s="1644"/>
      <c r="R143" s="1168"/>
      <c r="S143" s="1168"/>
      <c r="T143" s="1168"/>
      <c r="U143" s="1168"/>
      <c r="V143" s="1644"/>
      <c r="W143" s="1168"/>
      <c r="X143" s="1168"/>
      <c r="Y143" s="552"/>
      <c r="Z143" s="1168"/>
      <c r="AA143" s="1168"/>
      <c r="AB143" s="1168"/>
      <c r="AC143" s="1168"/>
      <c r="AD143" s="1168"/>
      <c r="AE143" s="1640"/>
      <c r="AF143" s="574"/>
      <c r="AG143" s="574"/>
      <c r="AH143" s="574"/>
      <c r="AI143" s="574"/>
      <c r="AJ143" s="1649">
        <v>11</v>
      </c>
    </row>
    <row s="1649" customFormat="1" customHeight="1" ht="11.549999999999999">
      <c r="A144" s="995"/>
      <c r="B144" s="1644"/>
      <c r="C144" s="1644"/>
      <c r="D144" s="359"/>
      <c r="J144" s="1649"/>
      <c r="K144" s="1649"/>
      <c r="L144" s="1649"/>
      <c r="M144" s="1649"/>
      <c r="O144" s="1168"/>
      <c r="P144" s="1644"/>
      <c r="Q144" s="1644"/>
      <c r="R144" s="1168"/>
      <c r="S144" s="1168"/>
      <c r="T144" s="1168"/>
      <c r="U144" s="1168"/>
      <c r="V144" s="1644"/>
      <c r="W144" s="1168"/>
      <c r="X144" s="1168"/>
      <c r="Y144" s="552"/>
      <c r="Z144" s="1168"/>
      <c r="AA144" s="1168"/>
      <c r="AB144" s="1168"/>
      <c r="AC144" s="1168"/>
      <c r="AD144" s="1168"/>
      <c r="AE144" s="1640"/>
      <c r="AF144" s="574"/>
      <c r="AG144" s="574"/>
      <c r="AH144" s="574"/>
      <c r="AI144" s="574"/>
      <c r="AJ144" s="1649">
        <v>11</v>
      </c>
    </row>
    <row s="1649" customFormat="1" customHeight="1" ht="11.549999999999999">
      <c r="A145" s="995"/>
      <c r="B145" s="1644"/>
      <c r="C145" s="1644"/>
      <c r="D145" s="359"/>
      <c r="J145" s="1649"/>
      <c r="K145" s="1649"/>
      <c r="L145" s="1649"/>
      <c r="M145" s="1649"/>
      <c r="O145" s="1168"/>
      <c r="P145" s="1644"/>
      <c r="Q145" s="1644"/>
      <c r="R145" s="1168"/>
      <c r="S145" s="1168"/>
      <c r="T145" s="1168"/>
      <c r="U145" s="1168"/>
      <c r="V145" s="1644"/>
      <c r="W145" s="1168"/>
      <c r="X145" s="1168"/>
      <c r="Y145" s="552"/>
      <c r="Z145" s="1168"/>
      <c r="AA145" s="1168"/>
      <c r="AB145" s="1168"/>
      <c r="AC145" s="1168"/>
      <c r="AD145" s="1168"/>
      <c r="AE145" s="1640"/>
      <c r="AF145" s="574"/>
      <c r="AG145" s="574"/>
      <c r="AH145" s="574"/>
      <c r="AI145" s="574"/>
      <c r="AJ145" s="1649">
        <v>11</v>
      </c>
    </row>
    <row s="1649" customFormat="1" customHeight="1" ht="11.549999999999999">
      <c r="A146" s="995"/>
      <c r="B146" s="1644"/>
      <c r="C146" s="1644"/>
      <c r="D146" s="359"/>
      <c r="J146" s="1649"/>
      <c r="K146" s="1649"/>
      <c r="L146" s="1649"/>
      <c r="M146" s="1649"/>
      <c r="O146" s="1168"/>
      <c r="P146" s="1644"/>
      <c r="Q146" s="1644"/>
      <c r="R146" s="1168"/>
      <c r="S146" s="1168"/>
      <c r="T146" s="1168"/>
      <c r="U146" s="1168"/>
      <c r="V146" s="1644"/>
      <c r="W146" s="1168"/>
      <c r="X146" s="1168"/>
      <c r="Y146" s="552"/>
      <c r="Z146" s="1168"/>
      <c r="AA146" s="1168"/>
      <c r="AB146" s="1168"/>
      <c r="AC146" s="1168"/>
      <c r="AD146" s="1168"/>
      <c r="AE146" s="1640"/>
      <c r="AF146" s="574"/>
      <c r="AG146" s="574"/>
      <c r="AH146" s="574"/>
      <c r="AI146" s="574"/>
      <c r="AJ146" s="1649">
        <v>11</v>
      </c>
    </row>
    <row s="1649" customFormat="1" customHeight="1" ht="11.549999999999999">
      <c r="A147" s="995"/>
      <c r="B147" s="1644"/>
      <c r="C147" s="1644"/>
      <c r="D147" s="359"/>
      <c r="J147" s="1649"/>
      <c r="K147" s="1649"/>
      <c r="L147" s="1649"/>
      <c r="M147" s="1649"/>
      <c r="O147" s="1168"/>
      <c r="P147" s="1644"/>
      <c r="Q147" s="1644"/>
      <c r="R147" s="1168"/>
      <c r="S147" s="1168"/>
      <c r="T147" s="1168"/>
      <c r="U147" s="1168"/>
      <c r="V147" s="1644"/>
      <c r="W147" s="1168"/>
      <c r="X147" s="1168"/>
      <c r="Y147" s="552"/>
      <c r="Z147" s="1168"/>
      <c r="AA147" s="1168"/>
      <c r="AB147" s="1168"/>
      <c r="AC147" s="1168"/>
      <c r="AD147" s="1168"/>
      <c r="AE147" s="1640"/>
      <c r="AF147" s="574"/>
      <c r="AG147" s="574"/>
      <c r="AH147" s="574"/>
      <c r="AI147" s="574"/>
      <c r="AJ147" s="1649">
        <v>11</v>
      </c>
    </row>
    <row s="1649" customFormat="1" customHeight="1" ht="11.549999999999999">
      <c r="A148" s="995"/>
      <c r="B148" s="1644"/>
      <c r="C148" s="1644"/>
      <c r="D148" s="359"/>
      <c r="J148" s="1649"/>
      <c r="K148" s="1649"/>
      <c r="L148" s="1649"/>
      <c r="M148" s="1649"/>
      <c r="O148" s="1168"/>
      <c r="P148" s="1644"/>
      <c r="Q148" s="1644"/>
      <c r="R148" s="1168"/>
      <c r="S148" s="1168"/>
      <c r="T148" s="1168"/>
      <c r="U148" s="1168"/>
      <c r="V148" s="1644"/>
      <c r="W148" s="1168"/>
      <c r="X148" s="1168"/>
      <c r="Y148" s="552"/>
      <c r="Z148" s="1168"/>
      <c r="AA148" s="1168"/>
      <c r="AB148" s="1168"/>
      <c r="AC148" s="1168"/>
      <c r="AD148" s="1168"/>
      <c r="AE148" s="1640"/>
      <c r="AF148" s="574"/>
      <c r="AG148" s="574"/>
      <c r="AH148" s="574"/>
      <c r="AI148" s="574"/>
      <c r="AJ148" s="1649">
        <v>11</v>
      </c>
    </row>
    <row s="1649" customFormat="1" customHeight="1" ht="11.549999999999999">
      <c r="A149" s="995"/>
      <c r="B149" s="1644"/>
      <c r="C149" s="1644"/>
      <c r="D149" s="359"/>
      <c r="J149" s="1649"/>
      <c r="K149" s="1649"/>
      <c r="L149" s="1649"/>
      <c r="M149" s="1649"/>
      <c r="O149" s="1168"/>
      <c r="P149" s="1644"/>
      <c r="Q149" s="1644"/>
      <c r="R149" s="1168"/>
      <c r="S149" s="1168"/>
      <c r="T149" s="1168"/>
      <c r="U149" s="1168"/>
      <c r="V149" s="1644"/>
      <c r="W149" s="1168"/>
      <c r="X149" s="1168"/>
      <c r="Y149" s="552"/>
      <c r="Z149" s="1168"/>
      <c r="AA149" s="1168"/>
      <c r="AB149" s="1168"/>
      <c r="AC149" s="1168"/>
      <c r="AD149" s="1168"/>
      <c r="AE149" s="1640"/>
      <c r="AF149" s="574"/>
      <c r="AG149" s="574"/>
      <c r="AH149" s="574"/>
      <c r="AI149" s="574"/>
      <c r="AJ149" s="1649">
        <v>11</v>
      </c>
    </row>
    <row s="1649" customFormat="1" customHeight="1" ht="11.549999999999999">
      <c r="A150" s="995"/>
      <c r="B150" s="1644"/>
      <c r="C150" s="1644"/>
      <c r="D150" s="359"/>
      <c r="J150" s="1649"/>
      <c r="K150" s="1649"/>
      <c r="L150" s="1649"/>
      <c r="M150" s="1649"/>
      <c r="O150" s="1168"/>
      <c r="P150" s="1644"/>
      <c r="Q150" s="1644"/>
      <c r="R150" s="1168"/>
      <c r="S150" s="1168"/>
      <c r="T150" s="1168"/>
      <c r="U150" s="1168"/>
      <c r="V150" s="1644"/>
      <c r="W150" s="1168"/>
      <c r="X150" s="1168"/>
      <c r="Y150" s="552"/>
      <c r="Z150" s="1168"/>
      <c r="AA150" s="1168"/>
      <c r="AB150" s="1168"/>
      <c r="AC150" s="1168"/>
      <c r="AD150" s="1168"/>
      <c r="AE150" s="1640"/>
      <c r="AF150" s="574"/>
      <c r="AG150" s="574"/>
      <c r="AH150" s="574"/>
      <c r="AI150" s="574"/>
      <c r="AJ150" s="1649">
        <v>11</v>
      </c>
    </row>
    <row s="1649" customFormat="1" customHeight="1" ht="11.549999999999999">
      <c r="A151" s="995"/>
      <c r="B151" s="1644"/>
      <c r="C151" s="1644"/>
      <c r="D151" s="359"/>
      <c r="J151" s="1649"/>
      <c r="K151" s="1649"/>
      <c r="L151" s="1649"/>
      <c r="M151" s="1649"/>
      <c r="O151" s="1168"/>
      <c r="P151" s="1644"/>
      <c r="Q151" s="1644"/>
      <c r="R151" s="1168"/>
      <c r="S151" s="1168"/>
      <c r="T151" s="1168"/>
      <c r="U151" s="1168"/>
      <c r="V151" s="1644"/>
      <c r="W151" s="1168"/>
      <c r="X151" s="1168"/>
      <c r="Y151" s="552"/>
      <c r="Z151" s="1168"/>
      <c r="AA151" s="1168"/>
      <c r="AB151" s="1168"/>
      <c r="AC151" s="1168"/>
      <c r="AD151" s="1168"/>
      <c r="AE151" s="1640"/>
      <c r="AF151" s="574"/>
      <c r="AG151" s="574"/>
      <c r="AH151" s="574"/>
      <c r="AI151" s="574"/>
      <c r="AJ151" s="1649">
        <v>11</v>
      </c>
    </row>
    <row s="1649" customFormat="1" customHeight="1" ht="11.549999999999999">
      <c r="A152" s="995"/>
      <c r="B152" s="1644"/>
      <c r="C152" s="1644"/>
      <c r="D152" s="359"/>
      <c r="J152" s="1649"/>
      <c r="K152" s="1649"/>
      <c r="L152" s="1649"/>
      <c r="M152" s="1649"/>
      <c r="O152" s="1168"/>
      <c r="P152" s="1644"/>
      <c r="Q152" s="1644"/>
      <c r="R152" s="1168"/>
      <c r="S152" s="1168"/>
      <c r="T152" s="1168"/>
      <c r="U152" s="1168"/>
      <c r="V152" s="1644"/>
      <c r="W152" s="1168"/>
      <c r="X152" s="1168"/>
      <c r="Y152" s="552"/>
      <c r="Z152" s="1168"/>
      <c r="AA152" s="1168"/>
      <c r="AB152" s="1168"/>
      <c r="AC152" s="1168"/>
      <c r="AD152" s="1168"/>
      <c r="AE152" s="1640"/>
      <c r="AF152" s="574"/>
      <c r="AG152" s="574"/>
      <c r="AH152" s="574"/>
      <c r="AI152" s="574"/>
      <c r="AJ152" s="1649">
        <v>11</v>
      </c>
    </row>
    <row s="1649" customFormat="1" customHeight="1" ht="11.549999999999999">
      <c r="A153" s="995"/>
      <c r="B153" s="1644"/>
      <c r="C153" s="1644"/>
      <c r="D153" s="359"/>
      <c r="J153" s="1649"/>
      <c r="K153" s="1649"/>
      <c r="L153" s="1649"/>
      <c r="M153" s="1649"/>
      <c r="O153" s="1168"/>
      <c r="P153" s="1644"/>
      <c r="Q153" s="1644"/>
      <c r="R153" s="1168"/>
      <c r="S153" s="1168"/>
      <c r="T153" s="1168"/>
      <c r="U153" s="1168"/>
      <c r="V153" s="1644"/>
      <c r="W153" s="1168"/>
      <c r="X153" s="1168"/>
      <c r="Y153" s="552"/>
      <c r="Z153" s="1168"/>
      <c r="AA153" s="1168"/>
      <c r="AB153" s="1168"/>
      <c r="AC153" s="1168"/>
      <c r="AD153" s="1168"/>
      <c r="AE153" s="1640"/>
      <c r="AF153" s="574"/>
      <c r="AG153" s="574"/>
      <c r="AH153" s="574"/>
      <c r="AI153" s="574"/>
      <c r="AJ153" s="1649">
        <v>11</v>
      </c>
    </row>
    <row s="1649" customFormat="1" customHeight="1" ht="11.549999999999999">
      <c r="A154" s="995"/>
      <c r="B154" s="1644"/>
      <c r="C154" s="1644"/>
      <c r="D154" s="359"/>
      <c r="J154" s="1649"/>
      <c r="K154" s="1649"/>
      <c r="L154" s="1649"/>
      <c r="M154" s="1649"/>
      <c r="O154" s="1168"/>
      <c r="P154" s="1644"/>
      <c r="Q154" s="1644"/>
      <c r="R154" s="1168"/>
      <c r="S154" s="1168"/>
      <c r="T154" s="1168"/>
      <c r="U154" s="1168"/>
      <c r="V154" s="1644"/>
      <c r="W154" s="1168"/>
      <c r="X154" s="1168"/>
      <c r="Y154" s="552"/>
      <c r="Z154" s="1168"/>
      <c r="AA154" s="1168"/>
      <c r="AB154" s="1168"/>
      <c r="AC154" s="1168"/>
      <c r="AD154" s="1168"/>
      <c r="AE154" s="1640"/>
      <c r="AF154" s="574"/>
      <c r="AG154" s="574"/>
      <c r="AH154" s="574"/>
      <c r="AI154" s="574"/>
      <c r="AJ154" s="1649">
        <v>11</v>
      </c>
    </row>
    <row s="1649" customFormat="1" customHeight="1" ht="11.549999999999999">
      <c r="A155" s="995"/>
      <c r="B155" s="1644"/>
      <c r="C155" s="1644"/>
      <c r="D155" s="359"/>
      <c r="J155" s="1649"/>
      <c r="K155" s="1649"/>
      <c r="L155" s="1649"/>
      <c r="M155" s="1649"/>
      <c r="O155" s="1168"/>
      <c r="P155" s="1644"/>
      <c r="Q155" s="1644"/>
      <c r="R155" s="1168"/>
      <c r="S155" s="1168"/>
      <c r="T155" s="1168"/>
      <c r="U155" s="1168"/>
      <c r="V155" s="1644"/>
      <c r="W155" s="1168"/>
      <c r="X155" s="1168"/>
      <c r="Y155" s="552"/>
      <c r="Z155" s="1168"/>
      <c r="AA155" s="1168"/>
      <c r="AB155" s="1168"/>
      <c r="AC155" s="1168"/>
      <c r="AD155" s="1168"/>
      <c r="AE155" s="1640"/>
      <c r="AF155" s="574"/>
      <c r="AG155" s="574"/>
      <c r="AH155" s="574"/>
      <c r="AI155" s="574"/>
      <c r="AJ155" s="1649">
        <v>11</v>
      </c>
    </row>
    <row s="1649" customFormat="1" customHeight="1" ht="11.549999999999999">
      <c r="A156" s="995"/>
      <c r="B156" s="1644"/>
      <c r="C156" s="1644"/>
      <c r="D156" s="359"/>
      <c r="J156" s="1649"/>
      <c r="K156" s="1649"/>
      <c r="L156" s="1649"/>
      <c r="M156" s="1649"/>
      <c r="O156" s="1168"/>
      <c r="P156" s="1644"/>
      <c r="Q156" s="1644"/>
      <c r="R156" s="1168"/>
      <c r="S156" s="1168"/>
      <c r="T156" s="1168"/>
      <c r="U156" s="1168"/>
      <c r="V156" s="1644"/>
      <c r="W156" s="1168"/>
      <c r="X156" s="1168"/>
      <c r="Y156" s="552"/>
      <c r="Z156" s="1168"/>
      <c r="AA156" s="1168"/>
      <c r="AB156" s="1168"/>
      <c r="AC156" s="1168"/>
      <c r="AD156" s="1168"/>
      <c r="AE156" s="1640"/>
      <c r="AF156" s="574"/>
      <c r="AG156" s="574"/>
      <c r="AH156" s="574"/>
      <c r="AI156" s="574"/>
      <c r="AJ156" s="1649">
        <v>11</v>
      </c>
    </row>
    <row s="1649" customFormat="1" customHeight="1" ht="11.549999999999999">
      <c r="A157" s="995"/>
      <c r="B157" s="1644"/>
      <c r="C157" s="1644"/>
      <c r="D157" s="359"/>
      <c r="J157" s="1649"/>
      <c r="K157" s="1649"/>
      <c r="L157" s="1649"/>
      <c r="M157" s="1649"/>
      <c r="O157" s="1168"/>
      <c r="P157" s="1644"/>
      <c r="Q157" s="1644"/>
      <c r="R157" s="1168"/>
      <c r="S157" s="1168"/>
      <c r="T157" s="1168"/>
      <c r="U157" s="1168"/>
      <c r="V157" s="1644"/>
      <c r="W157" s="1168"/>
      <c r="X157" s="1168"/>
      <c r="Y157" s="552"/>
      <c r="Z157" s="1168"/>
      <c r="AA157" s="1168"/>
      <c r="AB157" s="1168"/>
      <c r="AC157" s="1168"/>
      <c r="AD157" s="1168"/>
      <c r="AE157" s="1640"/>
      <c r="AF157" s="574"/>
      <c r="AG157" s="574"/>
      <c r="AH157" s="574"/>
      <c r="AI157" s="574"/>
      <c r="AJ157" s="1649">
        <v>11</v>
      </c>
    </row>
    <row s="1649" customFormat="1" customHeight="1" ht="11.549999999999999">
      <c r="A158" s="995"/>
      <c r="B158" s="1644"/>
      <c r="C158" s="1644"/>
      <c r="D158" s="359"/>
      <c r="J158" s="1649"/>
      <c r="K158" s="1649"/>
      <c r="L158" s="1649"/>
      <c r="M158" s="1649"/>
      <c r="O158" s="1168"/>
      <c r="P158" s="1644"/>
      <c r="Q158" s="1644"/>
      <c r="R158" s="1168"/>
      <c r="S158" s="1168"/>
      <c r="T158" s="1168"/>
      <c r="U158" s="1168"/>
      <c r="V158" s="1644"/>
      <c r="W158" s="1168"/>
      <c r="X158" s="1168"/>
      <c r="Y158" s="552"/>
      <c r="Z158" s="1168"/>
      <c r="AA158" s="1168"/>
      <c r="AB158" s="1168"/>
      <c r="AC158" s="1168"/>
      <c r="AD158" s="1168"/>
      <c r="AE158" s="1640"/>
      <c r="AF158" s="574"/>
      <c r="AG158" s="574"/>
      <c r="AH158" s="574"/>
      <c r="AI158" s="574"/>
      <c r="AJ158" s="1649">
        <v>11</v>
      </c>
    </row>
    <row s="1649" customFormat="1" customHeight="1" ht="11.549999999999999">
      <c r="A159" s="995"/>
      <c r="B159" s="1644"/>
      <c r="C159" s="1644"/>
      <c r="D159" s="359"/>
      <c r="J159" s="1649"/>
      <c r="K159" s="1649"/>
      <c r="L159" s="1649"/>
      <c r="M159" s="1649"/>
      <c r="O159" s="1168"/>
      <c r="P159" s="1644"/>
      <c r="Q159" s="1644"/>
      <c r="R159" s="1168"/>
      <c r="S159" s="1168"/>
      <c r="T159" s="1168"/>
      <c r="U159" s="1168"/>
      <c r="V159" s="1644"/>
      <c r="W159" s="1168"/>
      <c r="X159" s="1168"/>
      <c r="Y159" s="552"/>
      <c r="Z159" s="1168"/>
      <c r="AA159" s="1168"/>
      <c r="AB159" s="1168"/>
      <c r="AC159" s="1168"/>
      <c r="AD159" s="1168"/>
      <c r="AE159" s="1640"/>
      <c r="AF159" s="574"/>
      <c r="AG159" s="574"/>
      <c r="AH159" s="574"/>
      <c r="AI159" s="574"/>
      <c r="AJ159" s="1649">
        <v>11</v>
      </c>
    </row>
    <row s="1649" customFormat="1" customHeight="1" ht="11.549999999999999">
      <c r="A160" s="995"/>
      <c r="B160" s="1644"/>
      <c r="C160" s="1644"/>
      <c r="D160" s="359"/>
      <c r="J160" s="1649"/>
      <c r="K160" s="1649"/>
      <c r="L160" s="1649"/>
      <c r="M160" s="1649"/>
      <c r="O160" s="1168"/>
      <c r="P160" s="1644"/>
      <c r="Q160" s="1644"/>
      <c r="R160" s="1168"/>
      <c r="S160" s="1168"/>
      <c r="T160" s="1168"/>
      <c r="U160" s="1168"/>
      <c r="V160" s="1644"/>
      <c r="W160" s="1168"/>
      <c r="X160" s="1168"/>
      <c r="Y160" s="552"/>
      <c r="Z160" s="1168"/>
      <c r="AA160" s="1168"/>
      <c r="AB160" s="1168"/>
      <c r="AC160" s="1168"/>
      <c r="AD160" s="1168"/>
      <c r="AE160" s="1640"/>
      <c r="AF160" s="574"/>
      <c r="AG160" s="574"/>
      <c r="AH160" s="574"/>
      <c r="AI160" s="574"/>
      <c r="AJ160" s="1649">
        <v>11</v>
      </c>
    </row>
    <row s="1649" customFormat="1" customHeight="1" ht="11.549999999999999">
      <c r="A161" s="995"/>
      <c r="B161" s="1644"/>
      <c r="C161" s="1644"/>
      <c r="D161" s="359"/>
      <c r="J161" s="1649"/>
      <c r="K161" s="1649"/>
      <c r="L161" s="1649"/>
      <c r="M161" s="1649"/>
      <c r="O161" s="1168"/>
      <c r="P161" s="1644"/>
      <c r="Q161" s="1644"/>
      <c r="R161" s="1168"/>
      <c r="S161" s="1168"/>
      <c r="T161" s="1168"/>
      <c r="U161" s="1168"/>
      <c r="V161" s="1644"/>
      <c r="W161" s="1168"/>
      <c r="X161" s="1168"/>
      <c r="Y161" s="552"/>
      <c r="Z161" s="1168"/>
      <c r="AA161" s="1168"/>
      <c r="AB161" s="1168"/>
      <c r="AC161" s="1168"/>
      <c r="AD161" s="1168"/>
      <c r="AE161" s="1640"/>
      <c r="AF161" s="574"/>
      <c r="AG161" s="574"/>
      <c r="AH161" s="574"/>
      <c r="AI161" s="574"/>
      <c r="AJ161" s="1649">
        <v>11</v>
      </c>
    </row>
    <row s="1649" customFormat="1" customHeight="1" ht="11.549999999999999">
      <c r="A162" s="995"/>
      <c r="B162" s="1644"/>
      <c r="C162" s="1644"/>
      <c r="D162" s="359"/>
      <c r="J162" s="1649"/>
      <c r="K162" s="1649"/>
      <c r="L162" s="1649"/>
      <c r="M162" s="1649"/>
      <c r="O162" s="1168"/>
      <c r="P162" s="1644"/>
      <c r="Q162" s="1644"/>
      <c r="R162" s="1168"/>
      <c r="S162" s="1168"/>
      <c r="T162" s="1168"/>
      <c r="U162" s="1168"/>
      <c r="V162" s="1644"/>
      <c r="W162" s="1168"/>
      <c r="X162" s="1168"/>
      <c r="Y162" s="552"/>
      <c r="Z162" s="1168"/>
      <c r="AA162" s="1168"/>
      <c r="AB162" s="1168"/>
      <c r="AC162" s="1168"/>
      <c r="AD162" s="1168"/>
      <c r="AE162" s="1640"/>
      <c r="AF162" s="574"/>
      <c r="AG162" s="574"/>
      <c r="AH162" s="574"/>
      <c r="AI162" s="574"/>
      <c r="AJ162" s="1649">
        <v>11</v>
      </c>
    </row>
    <row s="1649" customFormat="1" customHeight="1" ht="11.549999999999999">
      <c r="A163" s="995"/>
      <c r="B163" s="1644"/>
      <c r="C163" s="1644"/>
      <c r="D163" s="359"/>
      <c r="J163" s="1649"/>
      <c r="K163" s="1649"/>
      <c r="L163" s="1649"/>
      <c r="M163" s="1649"/>
      <c r="O163" s="1168"/>
      <c r="P163" s="1644"/>
      <c r="Q163" s="1644"/>
      <c r="R163" s="1168"/>
      <c r="S163" s="1168"/>
      <c r="T163" s="1168"/>
      <c r="U163" s="1168"/>
      <c r="V163" s="1644"/>
      <c r="W163" s="1168"/>
      <c r="X163" s="1168"/>
      <c r="Y163" s="552"/>
      <c r="Z163" s="1168"/>
      <c r="AA163" s="1168"/>
      <c r="AB163" s="1168"/>
      <c r="AC163" s="1168"/>
      <c r="AD163" s="1168"/>
      <c r="AE163" s="1640"/>
      <c r="AF163" s="574"/>
      <c r="AG163" s="574"/>
      <c r="AH163" s="574"/>
      <c r="AI163" s="574"/>
      <c r="AJ163" s="1649">
        <v>11</v>
      </c>
    </row>
    <row s="1649" customFormat="1" customHeight="1" ht="11.549999999999999">
      <c r="A164" s="995"/>
      <c r="B164" s="1644"/>
      <c r="C164" s="1644"/>
      <c r="D164" s="359"/>
      <c r="J164" s="1649"/>
      <c r="K164" s="1649"/>
      <c r="L164" s="1649"/>
      <c r="M164" s="1649"/>
      <c r="O164" s="1168"/>
      <c r="P164" s="1644"/>
      <c r="Q164" s="1644"/>
      <c r="R164" s="1168"/>
      <c r="S164" s="1168"/>
      <c r="T164" s="1168"/>
      <c r="U164" s="1168"/>
      <c r="V164" s="1644"/>
      <c r="W164" s="1168"/>
      <c r="X164" s="1168"/>
      <c r="Y164" s="552"/>
      <c r="Z164" s="1168"/>
      <c r="AA164" s="1168"/>
      <c r="AB164" s="1168"/>
      <c r="AC164" s="1168"/>
      <c r="AD164" s="1168"/>
      <c r="AE164" s="1640"/>
      <c r="AF164" s="574"/>
      <c r="AG164" s="574"/>
      <c r="AH164" s="574"/>
      <c r="AI164" s="574"/>
      <c r="AJ164" s="1649">
        <v>11</v>
      </c>
    </row>
    <row s="1649" customFormat="1" customHeight="1" ht="11.549999999999999">
      <c r="A165" s="995"/>
      <c r="B165" s="1644"/>
      <c r="C165" s="1644"/>
      <c r="D165" s="359"/>
      <c r="J165" s="1649"/>
      <c r="K165" s="1649"/>
      <c r="L165" s="1649"/>
      <c r="M165" s="1649"/>
      <c r="O165" s="1168"/>
      <c r="P165" s="1644"/>
      <c r="Q165" s="1644"/>
      <c r="R165" s="1168"/>
      <c r="S165" s="1168"/>
      <c r="T165" s="1168"/>
      <c r="U165" s="1168"/>
      <c r="V165" s="1644"/>
      <c r="W165" s="1168"/>
      <c r="X165" s="1168"/>
      <c r="Y165" s="552"/>
      <c r="Z165" s="1168"/>
      <c r="AA165" s="1168"/>
      <c r="AB165" s="1168"/>
      <c r="AC165" s="1168"/>
      <c r="AD165" s="1168"/>
      <c r="AE165" s="1640"/>
      <c r="AF165" s="574"/>
      <c r="AG165" s="574"/>
      <c r="AH165" s="574"/>
      <c r="AI165" s="574"/>
      <c r="AJ165" s="1649">
        <v>11</v>
      </c>
    </row>
    <row s="1649" customFormat="1" customHeight="1" ht="11.549999999999999">
      <c r="A166" s="995"/>
      <c r="B166" s="1644"/>
      <c r="C166" s="1644"/>
      <c r="D166" s="359"/>
      <c r="J166" s="1649"/>
      <c r="K166" s="1649"/>
      <c r="L166" s="1649"/>
      <c r="M166" s="1649"/>
      <c r="O166" s="1168"/>
      <c r="P166" s="1644"/>
      <c r="Q166" s="1644"/>
      <c r="R166" s="1168"/>
      <c r="S166" s="1168"/>
      <c r="T166" s="1168"/>
      <c r="U166" s="1168"/>
      <c r="V166" s="1644"/>
      <c r="W166" s="1168"/>
      <c r="X166" s="1168"/>
      <c r="Y166" s="552"/>
      <c r="Z166" s="1168"/>
      <c r="AA166" s="1168"/>
      <c r="AB166" s="1168"/>
      <c r="AC166" s="1168"/>
      <c r="AD166" s="1168"/>
      <c r="AE166" s="1640"/>
      <c r="AF166" s="574"/>
      <c r="AG166" s="574"/>
      <c r="AH166" s="574"/>
      <c r="AI166" s="574"/>
      <c r="AJ166" s="1649">
        <v>11</v>
      </c>
    </row>
    <row s="1649" customFormat="1" customHeight="1" ht="11.549999999999999">
      <c r="A167" s="995"/>
      <c r="B167" s="1644"/>
      <c r="C167" s="1644"/>
      <c r="D167" s="359"/>
      <c r="J167" s="1649"/>
      <c r="K167" s="1649"/>
      <c r="L167" s="1649"/>
      <c r="M167" s="1649"/>
      <c r="O167" s="1168"/>
      <c r="P167" s="1644"/>
      <c r="Q167" s="1644"/>
      <c r="R167" s="1168"/>
      <c r="S167" s="1168"/>
      <c r="T167" s="1168"/>
      <c r="U167" s="1168"/>
      <c r="V167" s="1644"/>
      <c r="W167" s="1168"/>
      <c r="X167" s="1168"/>
      <c r="Y167" s="552"/>
      <c r="Z167" s="1168"/>
      <c r="AA167" s="1168"/>
      <c r="AB167" s="1168"/>
      <c r="AC167" s="1168"/>
      <c r="AD167" s="1168"/>
      <c r="AE167" s="1640"/>
      <c r="AF167" s="574"/>
      <c r="AG167" s="574"/>
      <c r="AH167" s="574"/>
      <c r="AI167" s="574"/>
      <c r="AJ167" s="1649">
        <v>11</v>
      </c>
    </row>
    <row s="1649" customFormat="1" customHeight="1" ht="11.549999999999999">
      <c r="A168" s="995"/>
      <c r="B168" s="1644"/>
      <c r="C168" s="1644"/>
      <c r="D168" s="359"/>
      <c r="J168" s="1649"/>
      <c r="K168" s="1649"/>
      <c r="L168" s="1649"/>
      <c r="M168" s="1649"/>
      <c r="O168" s="1168"/>
      <c r="P168" s="1644"/>
      <c r="Q168" s="1644"/>
      <c r="R168" s="1168"/>
      <c r="S168" s="1168"/>
      <c r="T168" s="1168"/>
      <c r="U168" s="1168"/>
      <c r="V168" s="1644"/>
      <c r="W168" s="1168"/>
      <c r="X168" s="1168"/>
      <c r="Y168" s="552"/>
      <c r="Z168" s="1168"/>
      <c r="AA168" s="1168"/>
      <c r="AB168" s="1168"/>
      <c r="AC168" s="1168"/>
      <c r="AD168" s="1168"/>
      <c r="AE168" s="1640"/>
      <c r="AF168" s="574"/>
      <c r="AG168" s="574"/>
      <c r="AH168" s="574"/>
      <c r="AI168" s="574"/>
      <c r="AJ168" s="1649">
        <v>11</v>
      </c>
    </row>
    <row s="1649" customFormat="1" customHeight="1" ht="11.549999999999999">
      <c r="A169" s="995"/>
      <c r="B169" s="1644"/>
      <c r="C169" s="1644"/>
      <c r="D169" s="359"/>
      <c r="J169" s="1649"/>
      <c r="K169" s="1649"/>
      <c r="L169" s="1649"/>
      <c r="M169" s="1649"/>
      <c r="O169" s="1168"/>
      <c r="P169" s="1644"/>
      <c r="Q169" s="1644"/>
      <c r="R169" s="1168"/>
      <c r="S169" s="1168"/>
      <c r="T169" s="1168"/>
      <c r="U169" s="1168"/>
      <c r="V169" s="1644"/>
      <c r="W169" s="1168"/>
      <c r="X169" s="1168"/>
      <c r="Y169" s="552"/>
      <c r="Z169" s="1168"/>
      <c r="AA169" s="1168"/>
      <c r="AB169" s="1168"/>
      <c r="AC169" s="1168"/>
      <c r="AD169" s="1168"/>
      <c r="AE169" s="1640"/>
      <c r="AF169" s="574"/>
      <c r="AG169" s="574"/>
      <c r="AH169" s="574"/>
      <c r="AI169" s="574"/>
      <c r="AJ169" s="1649">
        <v>11</v>
      </c>
    </row>
    <row s="1649" customFormat="1" customHeight="1" ht="11.549999999999999">
      <c r="A170" s="995"/>
      <c r="B170" s="1644"/>
      <c r="C170" s="1644"/>
      <c r="D170" s="359"/>
      <c r="J170" s="1649"/>
      <c r="K170" s="1649"/>
      <c r="L170" s="1649"/>
      <c r="M170" s="1649"/>
      <c r="O170" s="1168"/>
      <c r="P170" s="1644"/>
      <c r="Q170" s="1644"/>
      <c r="R170" s="1168"/>
      <c r="S170" s="1168"/>
      <c r="T170" s="1168"/>
      <c r="U170" s="1168"/>
      <c r="V170" s="1644"/>
      <c r="W170" s="1168"/>
      <c r="X170" s="1168"/>
      <c r="Y170" s="552"/>
      <c r="Z170" s="1168"/>
      <c r="AA170" s="1168"/>
      <c r="AB170" s="1168"/>
      <c r="AC170" s="1168"/>
      <c r="AD170" s="1168"/>
      <c r="AE170" s="1640"/>
      <c r="AF170" s="574"/>
      <c r="AG170" s="574"/>
      <c r="AH170" s="574"/>
      <c r="AI170" s="574"/>
      <c r="AJ170" s="1649">
        <v>11</v>
      </c>
    </row>
    <row s="1649" customFormat="1" customHeight="1" ht="11.549999999999999">
      <c r="A171" s="995"/>
      <c r="B171" s="1644"/>
      <c r="C171" s="1644"/>
      <c r="D171" s="359"/>
      <c r="J171" s="1649"/>
      <c r="K171" s="1649"/>
      <c r="L171" s="1649"/>
      <c r="M171" s="1649"/>
      <c r="O171" s="1168"/>
      <c r="P171" s="1644"/>
      <c r="Q171" s="1644"/>
      <c r="R171" s="1168"/>
      <c r="S171" s="1168"/>
      <c r="T171" s="1168"/>
      <c r="U171" s="1168"/>
      <c r="V171" s="1644"/>
      <c r="W171" s="1168"/>
      <c r="X171" s="1168"/>
      <c r="Y171" s="552"/>
      <c r="Z171" s="1168"/>
      <c r="AA171" s="1168"/>
      <c r="AB171" s="1168"/>
      <c r="AC171" s="1168"/>
      <c r="AD171" s="1168"/>
      <c r="AE171" s="1640"/>
      <c r="AF171" s="574"/>
      <c r="AG171" s="574"/>
      <c r="AH171" s="574"/>
      <c r="AI171" s="574"/>
      <c r="AJ171" s="1649">
        <v>11</v>
      </c>
    </row>
    <row s="1649" customFormat="1" customHeight="1" ht="11.549999999999999">
      <c r="A172" s="995"/>
      <c r="B172" s="1644"/>
      <c r="C172" s="1644"/>
      <c r="D172" s="359"/>
      <c r="J172" s="1649"/>
      <c r="K172" s="1649"/>
      <c r="L172" s="1649"/>
      <c r="M172" s="1649"/>
      <c r="O172" s="1168"/>
      <c r="P172" s="1644"/>
      <c r="Q172" s="1644"/>
      <c r="R172" s="1168"/>
      <c r="S172" s="1168"/>
      <c r="T172" s="1168"/>
      <c r="U172" s="1168"/>
      <c r="V172" s="1644"/>
      <c r="W172" s="1168"/>
      <c r="X172" s="1168"/>
      <c r="Y172" s="552"/>
      <c r="Z172" s="1168"/>
      <c r="AA172" s="1168"/>
      <c r="AB172" s="1168"/>
      <c r="AC172" s="1168"/>
      <c r="AD172" s="1168"/>
      <c r="AE172" s="1640"/>
      <c r="AF172" s="574"/>
      <c r="AG172" s="574"/>
      <c r="AH172" s="574"/>
      <c r="AI172" s="574"/>
      <c r="AJ172" s="1649">
        <v>11</v>
      </c>
    </row>
    <row s="1649" customFormat="1" customHeight="1" ht="11.549999999999999">
      <c r="A173" s="995"/>
      <c r="B173" s="1644"/>
      <c r="C173" s="1644"/>
      <c r="D173" s="359"/>
      <c r="J173" s="1649"/>
      <c r="K173" s="1649"/>
      <c r="L173" s="1649"/>
      <c r="M173" s="1649"/>
      <c r="O173" s="1168"/>
      <c r="P173" s="1644"/>
      <c r="Q173" s="1644"/>
      <c r="R173" s="1168"/>
      <c r="S173" s="1168"/>
      <c r="T173" s="1168"/>
      <c r="U173" s="1168"/>
      <c r="V173" s="1644"/>
      <c r="W173" s="1168"/>
      <c r="X173" s="1168"/>
      <c r="Y173" s="552"/>
      <c r="Z173" s="1168"/>
      <c r="AA173" s="1168"/>
      <c r="AB173" s="1168"/>
      <c r="AC173" s="1168"/>
      <c r="AD173" s="1168"/>
      <c r="AE173" s="1640"/>
      <c r="AF173" s="574"/>
      <c r="AG173" s="574"/>
      <c r="AH173" s="574"/>
      <c r="AI173" s="574"/>
      <c r="AJ173" s="1649">
        <v>11</v>
      </c>
    </row>
    <row s="1649" customFormat="1" customHeight="1" ht="11.549999999999999">
      <c r="A174" s="995"/>
      <c r="B174" s="1644"/>
      <c r="C174" s="1644"/>
      <c r="D174" s="359"/>
      <c r="J174" s="1649"/>
      <c r="K174" s="1649"/>
      <c r="L174" s="1649"/>
      <c r="M174" s="1649"/>
      <c r="O174" s="1168"/>
      <c r="P174" s="1644"/>
      <c r="Q174" s="1644"/>
      <c r="R174" s="1168"/>
      <c r="S174" s="1168"/>
      <c r="T174" s="1168"/>
      <c r="U174" s="1168"/>
      <c r="V174" s="1644"/>
      <c r="W174" s="1168"/>
      <c r="X174" s="1168"/>
      <c r="Y174" s="552"/>
      <c r="Z174" s="1168"/>
      <c r="AA174" s="1168"/>
      <c r="AB174" s="1168"/>
      <c r="AC174" s="1168"/>
      <c r="AD174" s="1168"/>
      <c r="AE174" s="1640"/>
      <c r="AF174" s="574"/>
      <c r="AG174" s="574"/>
      <c r="AH174" s="574"/>
      <c r="AI174" s="574"/>
      <c r="AJ174" s="1649">
        <v>11</v>
      </c>
    </row>
    <row s="1649" customFormat="1" customHeight="1" ht="11.549999999999999">
      <c r="A175" s="995"/>
      <c r="B175" s="1644"/>
      <c r="C175" s="1644"/>
      <c r="D175" s="359"/>
      <c r="J175" s="1649"/>
      <c r="K175" s="1649"/>
      <c r="L175" s="1649"/>
      <c r="M175" s="1649"/>
      <c r="O175" s="1168"/>
      <c r="P175" s="1644"/>
      <c r="Q175" s="1644"/>
      <c r="R175" s="1168"/>
      <c r="S175" s="1168"/>
      <c r="T175" s="1168"/>
      <c r="U175" s="1168"/>
      <c r="V175" s="1644"/>
      <c r="W175" s="1168"/>
      <c r="X175" s="1168"/>
      <c r="Y175" s="552"/>
      <c r="Z175" s="1168"/>
      <c r="AA175" s="1168"/>
      <c r="AB175" s="1168"/>
      <c r="AC175" s="1168"/>
      <c r="AD175" s="1168"/>
      <c r="AE175" s="1640"/>
      <c r="AF175" s="574"/>
      <c r="AG175" s="574"/>
      <c r="AH175" s="574"/>
      <c r="AI175" s="574"/>
      <c r="AJ175" s="1649">
        <v>11</v>
      </c>
    </row>
    <row s="1649" customFormat="1" customHeight="1" ht="11.549999999999999">
      <c r="A176" s="995"/>
      <c r="B176" s="1644"/>
      <c r="C176" s="1644"/>
      <c r="D176" s="359"/>
      <c r="J176" s="1649"/>
      <c r="K176" s="1649"/>
      <c r="L176" s="1649"/>
      <c r="M176" s="1649"/>
      <c r="O176" s="1168"/>
      <c r="P176" s="1644"/>
      <c r="Q176" s="1644"/>
      <c r="R176" s="1168"/>
      <c r="S176" s="1168"/>
      <c r="T176" s="1168"/>
      <c r="U176" s="1168"/>
      <c r="V176" s="1644"/>
      <c r="W176" s="1168"/>
      <c r="X176" s="1168"/>
      <c r="Y176" s="552"/>
      <c r="Z176" s="1168"/>
      <c r="AA176" s="1168"/>
      <c r="AB176" s="1168"/>
      <c r="AC176" s="1168"/>
      <c r="AD176" s="1168"/>
      <c r="AE176" s="1640"/>
      <c r="AF176" s="574"/>
      <c r="AG176" s="574"/>
      <c r="AH176" s="574"/>
      <c r="AI176" s="574"/>
      <c r="AJ176" s="1649">
        <v>11</v>
      </c>
    </row>
    <row s="1649" customFormat="1" customHeight="1" ht="11.549999999999999">
      <c r="A177" s="995"/>
      <c r="B177" s="1644"/>
      <c r="C177" s="1644"/>
      <c r="D177" s="359"/>
      <c r="J177" s="1649"/>
      <c r="K177" s="1649"/>
      <c r="L177" s="1649"/>
      <c r="M177" s="1649"/>
      <c r="O177" s="1168"/>
      <c r="P177" s="1644"/>
      <c r="Q177" s="1644"/>
      <c r="R177" s="1168"/>
      <c r="S177" s="1168"/>
      <c r="T177" s="1168"/>
      <c r="U177" s="1168"/>
      <c r="V177" s="1644"/>
      <c r="W177" s="1168"/>
      <c r="X177" s="1168"/>
      <c r="Y177" s="552"/>
      <c r="Z177" s="1168"/>
      <c r="AA177" s="1168"/>
      <c r="AB177" s="1168"/>
      <c r="AC177" s="1168"/>
      <c r="AD177" s="1168"/>
      <c r="AE177" s="1640"/>
      <c r="AF177" s="574"/>
      <c r="AG177" s="574"/>
      <c r="AH177" s="574"/>
      <c r="AI177" s="574"/>
      <c r="AJ177" s="1649">
        <v>11</v>
      </c>
    </row>
    <row s="1649" customFormat="1" customHeight="1" ht="11.549999999999999">
      <c r="A178" s="995"/>
      <c r="B178" s="1644"/>
      <c r="C178" s="1644"/>
      <c r="D178" s="359"/>
      <c r="J178" s="1649"/>
      <c r="K178" s="1649"/>
      <c r="L178" s="1649"/>
      <c r="M178" s="1649"/>
      <c r="O178" s="1168"/>
      <c r="P178" s="1644"/>
      <c r="Q178" s="1644"/>
      <c r="R178" s="1168"/>
      <c r="S178" s="1168"/>
      <c r="T178" s="1168"/>
      <c r="U178" s="1168"/>
      <c r="V178" s="1644"/>
      <c r="W178" s="1168"/>
      <c r="X178" s="1168"/>
      <c r="Y178" s="552"/>
      <c r="Z178" s="1168"/>
      <c r="AA178" s="1168"/>
      <c r="AB178" s="1168"/>
      <c r="AC178" s="1168"/>
      <c r="AD178" s="1168"/>
      <c r="AE178" s="1640"/>
      <c r="AF178" s="574"/>
      <c r="AG178" s="574"/>
      <c r="AH178" s="574"/>
      <c r="AI178" s="574"/>
      <c r="AJ178" s="1649">
        <v>11</v>
      </c>
    </row>
    <row s="1649" customFormat="1" customHeight="1" ht="11.549999999999999">
      <c r="A179" s="995"/>
      <c r="B179" s="1644"/>
      <c r="C179" s="1644"/>
      <c r="D179" s="359"/>
      <c r="J179" s="1649"/>
      <c r="K179" s="1649"/>
      <c r="L179" s="1649"/>
      <c r="M179" s="1649"/>
      <c r="O179" s="1168"/>
      <c r="P179" s="1644"/>
      <c r="Q179" s="1644"/>
      <c r="R179" s="1168"/>
      <c r="S179" s="1168"/>
      <c r="T179" s="1168"/>
      <c r="U179" s="1168"/>
      <c r="V179" s="1644"/>
      <c r="W179" s="1168"/>
      <c r="X179" s="1168"/>
      <c r="Y179" s="552"/>
      <c r="Z179" s="1168"/>
      <c r="AA179" s="1168"/>
      <c r="AB179" s="1168"/>
      <c r="AC179" s="1168"/>
      <c r="AD179" s="1168"/>
      <c r="AE179" s="1640"/>
      <c r="AF179" s="574"/>
      <c r="AG179" s="574"/>
      <c r="AH179" s="574"/>
      <c r="AI179" s="574"/>
      <c r="AJ179" s="1649">
        <v>11</v>
      </c>
    </row>
    <row s="1649" customFormat="1" customHeight="1" ht="11.549999999999999">
      <c r="A180" s="995"/>
      <c r="B180" s="1644"/>
      <c r="C180" s="1644"/>
      <c r="D180" s="359"/>
      <c r="J180" s="1649"/>
      <c r="K180" s="1649"/>
      <c r="L180" s="1649"/>
      <c r="M180" s="1649"/>
      <c r="O180" s="1168"/>
      <c r="P180" s="1644"/>
      <c r="Q180" s="1644"/>
      <c r="R180" s="1168"/>
      <c r="S180" s="1168"/>
      <c r="T180" s="1168"/>
      <c r="U180" s="1168"/>
      <c r="V180" s="1644"/>
      <c r="W180" s="1168"/>
      <c r="X180" s="1168"/>
      <c r="Y180" s="552"/>
      <c r="Z180" s="1168"/>
      <c r="AA180" s="1168"/>
      <c r="AB180" s="1168"/>
      <c r="AC180" s="1168"/>
      <c r="AD180" s="1168"/>
      <c r="AE180" s="1640"/>
      <c r="AF180" s="574"/>
      <c r="AG180" s="574"/>
      <c r="AH180" s="574"/>
      <c r="AI180" s="574"/>
      <c r="AJ180" s="1649">
        <v>11</v>
      </c>
    </row>
    <row s="1649" customFormat="1" customHeight="1" ht="11.549999999999999">
      <c r="A181" s="995"/>
      <c r="B181" s="1644"/>
      <c r="C181" s="1644"/>
      <c r="D181" s="359"/>
      <c r="J181" s="1649"/>
      <c r="K181" s="1649"/>
      <c r="L181" s="1649"/>
      <c r="M181" s="1649"/>
      <c r="O181" s="1168"/>
      <c r="P181" s="1644"/>
      <c r="Q181" s="1644"/>
      <c r="R181" s="1168"/>
      <c r="S181" s="1168"/>
      <c r="T181" s="1168"/>
      <c r="U181" s="1168"/>
      <c r="V181" s="1644"/>
      <c r="W181" s="1168"/>
      <c r="X181" s="1168"/>
      <c r="Y181" s="552"/>
      <c r="Z181" s="1168"/>
      <c r="AA181" s="1168"/>
      <c r="AB181" s="1168"/>
      <c r="AC181" s="1168"/>
      <c r="AD181" s="1168"/>
      <c r="AE181" s="1640"/>
      <c r="AF181" s="574"/>
      <c r="AG181" s="574"/>
      <c r="AH181" s="574"/>
      <c r="AI181" s="574"/>
      <c r="AJ181" s="1649">
        <v>11</v>
      </c>
    </row>
    <row s="1649" customFormat="1" customHeight="1" ht="11.549999999999999">
      <c r="A182" s="995"/>
      <c r="B182" s="1644"/>
      <c r="C182" s="1644"/>
      <c r="D182" s="359"/>
      <c r="J182" s="1649"/>
      <c r="K182" s="1649"/>
      <c r="L182" s="1649"/>
      <c r="M182" s="1649"/>
      <c r="O182" s="1168"/>
      <c r="P182" s="1644"/>
      <c r="Q182" s="1644"/>
      <c r="R182" s="1168"/>
      <c r="S182" s="1168"/>
      <c r="T182" s="1168"/>
      <c r="U182" s="1168"/>
      <c r="V182" s="1644"/>
      <c r="W182" s="1168"/>
      <c r="X182" s="1168"/>
      <c r="Y182" s="552"/>
      <c r="Z182" s="1168"/>
      <c r="AA182" s="1168"/>
      <c r="AB182" s="1168"/>
      <c r="AC182" s="1168"/>
      <c r="AD182" s="1168"/>
      <c r="AE182" s="1640"/>
      <c r="AF182" s="574"/>
      <c r="AG182" s="574"/>
      <c r="AH182" s="574"/>
      <c r="AI182" s="574"/>
      <c r="AJ182" s="1649">
        <v>11</v>
      </c>
    </row>
    <row s="1649" customFormat="1" customHeight="1" ht="11.549999999999999">
      <c r="A183" s="995"/>
      <c r="B183" s="1644"/>
      <c r="C183" s="1644"/>
      <c r="D183" s="359"/>
      <c r="J183" s="1649"/>
      <c r="K183" s="1649"/>
      <c r="L183" s="1649"/>
      <c r="M183" s="1649"/>
      <c r="O183" s="1168"/>
      <c r="P183" s="1644"/>
      <c r="Q183" s="1644"/>
      <c r="R183" s="1168"/>
      <c r="S183" s="1168"/>
      <c r="T183" s="1168"/>
      <c r="U183" s="1168"/>
      <c r="V183" s="1644"/>
      <c r="W183" s="1168"/>
      <c r="X183" s="1168"/>
      <c r="Y183" s="552"/>
      <c r="Z183" s="1168"/>
      <c r="AA183" s="1168"/>
      <c r="AB183" s="1168"/>
      <c r="AC183" s="1168"/>
      <c r="AD183" s="1168"/>
      <c r="AE183" s="1640"/>
      <c r="AF183" s="574"/>
      <c r="AG183" s="574"/>
      <c r="AH183" s="574"/>
      <c r="AI183" s="574"/>
      <c r="AJ183" s="1649">
        <v>11</v>
      </c>
    </row>
    <row s="1649" customFormat="1" customHeight="1" ht="11.549999999999999">
      <c r="A184" s="995"/>
      <c r="B184" s="1644"/>
      <c r="C184" s="1644"/>
      <c r="D184" s="359"/>
      <c r="J184" s="1649"/>
      <c r="K184" s="1649"/>
      <c r="L184" s="1649"/>
      <c r="M184" s="1649"/>
      <c r="O184" s="1168"/>
      <c r="P184" s="1644"/>
      <c r="Q184" s="1644"/>
      <c r="R184" s="1168"/>
      <c r="S184" s="1168"/>
      <c r="T184" s="1168"/>
      <c r="U184" s="1168"/>
      <c r="V184" s="1644"/>
      <c r="W184" s="1168"/>
      <c r="X184" s="1168"/>
      <c r="Y184" s="552"/>
      <c r="Z184" s="1168"/>
      <c r="AA184" s="1168"/>
      <c r="AB184" s="1168"/>
      <c r="AC184" s="1168"/>
      <c r="AD184" s="1168"/>
      <c r="AE184" s="1640"/>
      <c r="AF184" s="574"/>
      <c r="AG184" s="574"/>
      <c r="AH184" s="574"/>
      <c r="AI184" s="574"/>
      <c r="AJ184" s="1649">
        <v>11</v>
      </c>
    </row>
    <row s="1649" customFormat="1" customHeight="1" ht="11.549999999999999">
      <c r="A185" s="995"/>
      <c r="B185" s="1644"/>
      <c r="C185" s="1644"/>
      <c r="D185" s="359"/>
      <c r="J185" s="1649"/>
      <c r="K185" s="1649"/>
      <c r="L185" s="1649"/>
      <c r="M185" s="1649"/>
      <c r="O185" s="1168"/>
      <c r="P185" s="1644"/>
      <c r="Q185" s="1644"/>
      <c r="R185" s="1168"/>
      <c r="S185" s="1168"/>
      <c r="T185" s="1168"/>
      <c r="U185" s="1168"/>
      <c r="V185" s="1644"/>
      <c r="W185" s="1168"/>
      <c r="X185" s="1168"/>
      <c r="Y185" s="552"/>
      <c r="Z185" s="1168"/>
      <c r="AA185" s="1168"/>
      <c r="AB185" s="1168"/>
      <c r="AC185" s="1168"/>
      <c r="AD185" s="1168"/>
      <c r="AE185" s="1640"/>
      <c r="AF185" s="574"/>
      <c r="AG185" s="574"/>
      <c r="AH185" s="574"/>
      <c r="AI185" s="574"/>
      <c r="AJ185" s="1649">
        <v>11</v>
      </c>
    </row>
    <row s="1649" customFormat="1" customHeight="1" ht="11.549999999999999">
      <c r="A186" s="995"/>
      <c r="B186" s="1644"/>
      <c r="C186" s="1644"/>
      <c r="D186" s="359"/>
      <c r="J186" s="1649"/>
      <c r="K186" s="1649"/>
      <c r="L186" s="1649"/>
      <c r="M186" s="1649"/>
      <c r="O186" s="1168"/>
      <c r="P186" s="1644"/>
      <c r="Q186" s="1644"/>
      <c r="R186" s="1168"/>
      <c r="S186" s="1168"/>
      <c r="T186" s="1168"/>
      <c r="U186" s="1168"/>
      <c r="V186" s="1644"/>
      <c r="W186" s="1168"/>
      <c r="X186" s="1168"/>
      <c r="Y186" s="552"/>
      <c r="Z186" s="1168"/>
      <c r="AA186" s="1168"/>
      <c r="AB186" s="1168"/>
      <c r="AC186" s="1168"/>
      <c r="AD186" s="1168"/>
      <c r="AE186" s="1640"/>
      <c r="AF186" s="574"/>
      <c r="AG186" s="574"/>
      <c r="AH186" s="574"/>
      <c r="AI186" s="574"/>
      <c r="AJ186" s="1649">
        <v>11</v>
      </c>
    </row>
    <row s="1649" customFormat="1" customHeight="1" ht="11.549999999999999">
      <c r="A187" s="995"/>
      <c r="B187" s="1644"/>
      <c r="C187" s="1644"/>
      <c r="D187" s="359"/>
      <c r="J187" s="1649"/>
      <c r="K187" s="1649"/>
      <c r="L187" s="1649"/>
      <c r="M187" s="1649"/>
      <c r="O187" s="1168"/>
      <c r="P187" s="1644"/>
      <c r="Q187" s="1644"/>
      <c r="R187" s="1168"/>
      <c r="S187" s="1168"/>
      <c r="T187" s="1168"/>
      <c r="U187" s="1168"/>
      <c r="V187" s="1644"/>
      <c r="W187" s="1168"/>
      <c r="X187" s="1168"/>
      <c r="Y187" s="552"/>
      <c r="Z187" s="1168"/>
      <c r="AA187" s="1168"/>
      <c r="AB187" s="1168"/>
      <c r="AC187" s="1168"/>
      <c r="AD187" s="1168"/>
      <c r="AE187" s="1640"/>
      <c r="AF187" s="574"/>
      <c r="AG187" s="574"/>
      <c r="AH187" s="574"/>
      <c r="AI187" s="574"/>
      <c r="AJ187" s="1649">
        <v>11</v>
      </c>
    </row>
    <row s="1649" customFormat="1" customHeight="1" ht="11.549999999999999">
      <c r="A188" s="995"/>
      <c r="B188" s="1644"/>
      <c r="C188" s="1644"/>
      <c r="D188" s="359"/>
      <c r="J188" s="1649"/>
      <c r="K188" s="1649"/>
      <c r="L188" s="1649"/>
      <c r="M188" s="1649"/>
      <c r="O188" s="1168"/>
      <c r="P188" s="1644"/>
      <c r="Q188" s="1644"/>
      <c r="R188" s="1168"/>
      <c r="S188" s="1168"/>
      <c r="T188" s="1168"/>
      <c r="U188" s="1168"/>
      <c r="V188" s="1644"/>
      <c r="W188" s="1168"/>
      <c r="X188" s="1168"/>
      <c r="Y188" s="552"/>
      <c r="Z188" s="1168"/>
      <c r="AA188" s="1168"/>
      <c r="AB188" s="1168"/>
      <c r="AC188" s="1168"/>
      <c r="AD188" s="1168"/>
      <c r="AE188" s="1640"/>
      <c r="AF188" s="574"/>
      <c r="AG188" s="574"/>
      <c r="AH188" s="574"/>
      <c r="AI188" s="574"/>
      <c r="AJ188" s="1649">
        <v>11</v>
      </c>
    </row>
    <row s="1649" customFormat="1" customHeight="1" ht="11.549999999999999">
      <c r="A189" s="995"/>
      <c r="B189" s="1644"/>
      <c r="C189" s="1644"/>
      <c r="D189" s="359"/>
      <c r="J189" s="1649"/>
      <c r="K189" s="1649"/>
      <c r="L189" s="1649"/>
      <c r="M189" s="1649"/>
      <c r="O189" s="1168"/>
      <c r="P189" s="1644"/>
      <c r="Q189" s="1644"/>
      <c r="R189" s="1168"/>
      <c r="S189" s="1168"/>
      <c r="T189" s="1168"/>
      <c r="U189" s="1168"/>
      <c r="V189" s="1644"/>
      <c r="W189" s="1168"/>
      <c r="X189" s="1168"/>
      <c r="Y189" s="552"/>
      <c r="Z189" s="1168"/>
      <c r="AA189" s="1168"/>
      <c r="AB189" s="1168"/>
      <c r="AC189" s="1168"/>
      <c r="AD189" s="1168"/>
      <c r="AE189" s="1640"/>
      <c r="AF189" s="574"/>
      <c r="AG189" s="574"/>
      <c r="AH189" s="574"/>
      <c r="AI189" s="574"/>
      <c r="AJ189" s="1649">
        <v>11</v>
      </c>
    </row>
    <row s="1649" customFormat="1" customHeight="1" ht="11.549999999999999">
      <c r="A190" s="995"/>
      <c r="B190" s="1644"/>
      <c r="C190" s="1644"/>
      <c r="D190" s="359"/>
      <c r="J190" s="1649"/>
      <c r="K190" s="1649"/>
      <c r="L190" s="1649"/>
      <c r="M190" s="1649"/>
      <c r="O190" s="1168"/>
      <c r="P190" s="1644"/>
      <c r="Q190" s="1644"/>
      <c r="R190" s="1168"/>
      <c r="S190" s="1168"/>
      <c r="T190" s="1168"/>
      <c r="U190" s="1168"/>
      <c r="V190" s="1644"/>
      <c r="W190" s="1168"/>
      <c r="X190" s="1168"/>
      <c r="Y190" s="552"/>
      <c r="Z190" s="1168"/>
      <c r="AA190" s="1168"/>
      <c r="AB190" s="1168"/>
      <c r="AC190" s="1168"/>
      <c r="AD190" s="1168"/>
      <c r="AE190" s="1640"/>
      <c r="AF190" s="574"/>
      <c r="AG190" s="574"/>
      <c r="AH190" s="574"/>
      <c r="AI190" s="574"/>
      <c r="AJ190" s="1649">
        <v>11</v>
      </c>
    </row>
    <row s="1649" customFormat="1" customHeight="1" ht="11.549999999999999">
      <c r="A191" s="995"/>
      <c r="B191" s="1644"/>
      <c r="C191" s="1644"/>
      <c r="D191" s="359"/>
      <c r="J191" s="1649"/>
      <c r="K191" s="1649"/>
      <c r="L191" s="1649"/>
      <c r="M191" s="1649"/>
      <c r="O191" s="1168"/>
      <c r="P191" s="1644"/>
      <c r="Q191" s="1644"/>
      <c r="R191" s="1168"/>
      <c r="S191" s="1168"/>
      <c r="T191" s="1168"/>
      <c r="U191" s="1168"/>
      <c r="V191" s="1644"/>
      <c r="W191" s="1168"/>
      <c r="X191" s="1168"/>
      <c r="Y191" s="552"/>
      <c r="Z191" s="1168"/>
      <c r="AA191" s="1168"/>
      <c r="AB191" s="1168"/>
      <c r="AC191" s="1168"/>
      <c r="AD191" s="1168"/>
      <c r="AE191" s="1640"/>
      <c r="AF191" s="574"/>
      <c r="AG191" s="574"/>
      <c r="AH191" s="574"/>
      <c r="AI191" s="574"/>
      <c r="AJ191" s="1649">
        <v>11</v>
      </c>
    </row>
    <row s="1649" customFormat="1" customHeight="1" ht="11.549999999999999">
      <c r="A192" s="995"/>
      <c r="B192" s="1644"/>
      <c r="C192" s="1644"/>
      <c r="D192" s="359"/>
      <c r="J192" s="1649"/>
      <c r="K192" s="1649"/>
      <c r="L192" s="1649"/>
      <c r="M192" s="1649"/>
      <c r="O192" s="1168"/>
      <c r="P192" s="1644"/>
      <c r="Q192" s="1644"/>
      <c r="R192" s="1168"/>
      <c r="S192" s="1168"/>
      <c r="T192" s="1168"/>
      <c r="U192" s="1168"/>
      <c r="V192" s="1644"/>
      <c r="W192" s="1168"/>
      <c r="X192" s="1168"/>
      <c r="Y192" s="552"/>
      <c r="Z192" s="1168"/>
      <c r="AA192" s="1168"/>
      <c r="AB192" s="1168"/>
      <c r="AC192" s="1168"/>
      <c r="AD192" s="1168"/>
      <c r="AE192" s="1640"/>
      <c r="AF192" s="574"/>
      <c r="AG192" s="574"/>
      <c r="AH192" s="574"/>
      <c r="AI192" s="574"/>
      <c r="AJ192" s="1649">
        <v>11</v>
      </c>
    </row>
    <row s="1649" customFormat="1" customHeight="1" ht="11.549999999999999">
      <c r="A193" s="995"/>
      <c r="B193" s="1644"/>
      <c r="C193" s="1644"/>
      <c r="D193" s="359"/>
      <c r="J193" s="1649"/>
      <c r="K193" s="1649"/>
      <c r="L193" s="1649"/>
      <c r="M193" s="1649"/>
      <c r="O193" s="1168"/>
      <c r="P193" s="1644"/>
      <c r="Q193" s="1644"/>
      <c r="R193" s="1168"/>
      <c r="S193" s="1168"/>
      <c r="T193" s="1168"/>
      <c r="U193" s="1168"/>
      <c r="V193" s="1644"/>
      <c r="W193" s="1168"/>
      <c r="X193" s="1168"/>
      <c r="Y193" s="552"/>
      <c r="Z193" s="1168"/>
      <c r="AA193" s="1168"/>
      <c r="AB193" s="1168"/>
      <c r="AC193" s="1168"/>
      <c r="AD193" s="1168"/>
      <c r="AE193" s="1640"/>
      <c r="AF193" s="574"/>
      <c r="AG193" s="574"/>
      <c r="AH193" s="574"/>
      <c r="AI193" s="574"/>
      <c r="AJ193" s="1649">
        <v>11</v>
      </c>
    </row>
    <row s="1649" customFormat="1" customHeight="1" ht="11.549999999999999">
      <c r="A194" s="995"/>
      <c r="B194" s="1644"/>
      <c r="C194" s="1644"/>
      <c r="D194" s="359"/>
      <c r="J194" s="1649"/>
      <c r="K194" s="1649"/>
      <c r="L194" s="1649"/>
      <c r="M194" s="1649"/>
      <c r="O194" s="1168"/>
      <c r="P194" s="1644"/>
      <c r="Q194" s="1644"/>
      <c r="R194" s="1168"/>
      <c r="S194" s="1168"/>
      <c r="T194" s="1168"/>
      <c r="U194" s="1168"/>
      <c r="V194" s="1644"/>
      <c r="W194" s="1168"/>
      <c r="X194" s="1168"/>
      <c r="Y194" s="552"/>
      <c r="Z194" s="1168"/>
      <c r="AA194" s="1168"/>
      <c r="AB194" s="1168"/>
      <c r="AC194" s="1168"/>
      <c r="AD194" s="1168"/>
      <c r="AE194" s="1640"/>
      <c r="AF194" s="574"/>
      <c r="AG194" s="574"/>
      <c r="AH194" s="574"/>
      <c r="AI194" s="574"/>
      <c r="AJ194" s="1649">
        <v>11</v>
      </c>
    </row>
    <row s="1649" customFormat="1" customHeight="1" ht="11.549999999999999">
      <c r="A195" s="995"/>
      <c r="B195" s="1644"/>
      <c r="C195" s="1644"/>
      <c r="D195" s="359"/>
      <c r="J195" s="1649"/>
      <c r="K195" s="1649"/>
      <c r="L195" s="1649"/>
      <c r="M195" s="1649"/>
      <c r="O195" s="1168"/>
      <c r="P195" s="1644"/>
      <c r="Q195" s="1644"/>
      <c r="R195" s="1168"/>
      <c r="S195" s="1168"/>
      <c r="T195" s="1168"/>
      <c r="U195" s="1168"/>
      <c r="V195" s="1644"/>
      <c r="W195" s="1168"/>
      <c r="X195" s="1168"/>
      <c r="Y195" s="552"/>
      <c r="Z195" s="1168"/>
      <c r="AA195" s="1168"/>
      <c r="AB195" s="1168"/>
      <c r="AC195" s="1168"/>
      <c r="AD195" s="1168"/>
      <c r="AE195" s="1640"/>
      <c r="AF195" s="574"/>
      <c r="AG195" s="574"/>
      <c r="AH195" s="574"/>
      <c r="AI195" s="574"/>
      <c r="AJ195" s="1649">
        <v>11</v>
      </c>
    </row>
    <row s="1649" customFormat="1" customHeight="1" ht="11.549999999999999">
      <c r="A196" s="995"/>
      <c r="B196" s="1644"/>
      <c r="C196" s="1644"/>
      <c r="D196" s="359"/>
      <c r="J196" s="1649"/>
      <c r="K196" s="1649"/>
      <c r="L196" s="1649"/>
      <c r="M196" s="1649"/>
      <c r="O196" s="1168"/>
      <c r="P196" s="1644"/>
      <c r="Q196" s="1644"/>
      <c r="R196" s="1168"/>
      <c r="S196" s="1168"/>
      <c r="T196" s="1168"/>
      <c r="U196" s="1168"/>
      <c r="V196" s="1644"/>
      <c r="W196" s="1168"/>
      <c r="X196" s="1168"/>
      <c r="Y196" s="552"/>
      <c r="Z196" s="1168"/>
      <c r="AA196" s="1168"/>
      <c r="AB196" s="1168"/>
      <c r="AC196" s="1168"/>
      <c r="AD196" s="1168"/>
      <c r="AE196" s="1640"/>
      <c r="AF196" s="574"/>
      <c r="AG196" s="574"/>
      <c r="AH196" s="574"/>
      <c r="AI196" s="574"/>
      <c r="AJ196" s="1649">
        <v>11</v>
      </c>
    </row>
    <row s="1649" customFormat="1" customHeight="1" ht="11.549999999999999">
      <c r="A197" s="995"/>
      <c r="B197" s="1644"/>
      <c r="C197" s="1644"/>
      <c r="D197" s="359"/>
      <c r="J197" s="1649"/>
      <c r="K197" s="1649"/>
      <c r="L197" s="1649"/>
      <c r="M197" s="1649"/>
      <c r="O197" s="1168"/>
      <c r="P197" s="1644"/>
      <c r="Q197" s="1644"/>
      <c r="R197" s="1168"/>
      <c r="S197" s="1168"/>
      <c r="T197" s="1168"/>
      <c r="U197" s="1168"/>
      <c r="V197" s="1644"/>
      <c r="W197" s="1168"/>
      <c r="X197" s="1168"/>
      <c r="Y197" s="552"/>
      <c r="Z197" s="1168"/>
      <c r="AA197" s="1168"/>
      <c r="AB197" s="1168"/>
      <c r="AC197" s="1168"/>
      <c r="AD197" s="1168"/>
      <c r="AE197" s="1640"/>
      <c r="AF197" s="574"/>
      <c r="AG197" s="574"/>
      <c r="AH197" s="574"/>
      <c r="AI197" s="574"/>
      <c r="AJ197" s="1649">
        <v>11</v>
      </c>
    </row>
    <row s="1649" customFormat="1" customHeight="1" ht="11.549999999999999">
      <c r="A198" s="995"/>
      <c r="B198" s="1644"/>
      <c r="C198" s="1644"/>
      <c r="D198" s="359"/>
      <c r="J198" s="1649"/>
      <c r="K198" s="1649"/>
      <c r="L198" s="1649"/>
      <c r="M198" s="1649"/>
      <c r="O198" s="1168"/>
      <c r="P198" s="1644"/>
      <c r="Q198" s="1644"/>
      <c r="R198" s="1168"/>
      <c r="S198" s="1168"/>
      <c r="T198" s="1168"/>
      <c r="U198" s="1168"/>
      <c r="V198" s="1644"/>
      <c r="W198" s="1168"/>
      <c r="X198" s="1168"/>
      <c r="Y198" s="552"/>
      <c r="Z198" s="1168"/>
      <c r="AA198" s="1168"/>
      <c r="AB198" s="1168"/>
      <c r="AC198" s="1168"/>
      <c r="AD198" s="1168"/>
      <c r="AE198" s="1640"/>
      <c r="AF198" s="574"/>
      <c r="AG198" s="574"/>
      <c r="AH198" s="574"/>
      <c r="AI198" s="574"/>
      <c r="AJ198" s="1649">
        <v>11</v>
      </c>
    </row>
    <row s="1649" customFormat="1" customHeight="1" ht="11.549999999999999">
      <c r="A199" s="995"/>
      <c r="B199" s="1644"/>
      <c r="C199" s="1644"/>
      <c r="D199" s="359"/>
      <c r="J199" s="1649"/>
      <c r="K199" s="1649"/>
      <c r="L199" s="1649"/>
      <c r="M199" s="1649"/>
      <c r="O199" s="1168"/>
      <c r="P199" s="1644"/>
      <c r="Q199" s="1644"/>
      <c r="R199" s="1168"/>
      <c r="S199" s="1168"/>
      <c r="T199" s="1168"/>
      <c r="U199" s="1168"/>
      <c r="V199" s="1644"/>
      <c r="W199" s="1168"/>
      <c r="X199" s="1168"/>
      <c r="Y199" s="552"/>
      <c r="Z199" s="1168"/>
      <c r="AA199" s="1168"/>
      <c r="AB199" s="1168"/>
      <c r="AC199" s="1168"/>
      <c r="AD199" s="1168"/>
      <c r="AE199" s="1640"/>
      <c r="AF199" s="574"/>
      <c r="AG199" s="574"/>
      <c r="AH199" s="574"/>
      <c r="AI199" s="574"/>
      <c r="AJ199" s="1649">
        <v>11</v>
      </c>
    </row>
    <row s="1649" customFormat="1" customHeight="1" ht="11.549999999999999">
      <c r="A200" s="995"/>
      <c r="B200" s="1644"/>
      <c r="C200" s="1644"/>
      <c r="D200" s="359"/>
      <c r="J200" s="1649"/>
      <c r="K200" s="1649"/>
      <c r="L200" s="1649"/>
      <c r="M200" s="1649"/>
      <c r="O200" s="1168"/>
      <c r="P200" s="1644"/>
      <c r="Q200" s="1644"/>
      <c r="R200" s="1168"/>
      <c r="S200" s="1168"/>
      <c r="T200" s="1168"/>
      <c r="U200" s="1168"/>
      <c r="V200" s="1644"/>
      <c r="W200" s="1168"/>
      <c r="X200" s="1168"/>
      <c r="Y200" s="552"/>
      <c r="Z200" s="1168"/>
      <c r="AA200" s="1168"/>
      <c r="AB200" s="1168"/>
      <c r="AC200" s="1168"/>
      <c r="AD200" s="1168"/>
      <c r="AE200" s="1640"/>
      <c r="AF200" s="574"/>
      <c r="AG200" s="574"/>
      <c r="AH200" s="574"/>
      <c r="AI200" s="574"/>
      <c r="AJ200" s="1649">
        <v>11</v>
      </c>
    </row>
    <row customHeight="1" ht="11.549999999999999">
      <c r="J201" s="1643"/>
      <c r="K201" s="1643"/>
      <c r="L201" s="1643"/>
      <c r="M201" s="1643"/>
      <c r="AJ201" s="1639">
        <v>11</v>
      </c>
    </row>
    <row customHeight="1" ht="11.549999999999999">
      <c r="J202" s="1643"/>
      <c r="K202" s="1643"/>
      <c r="L202" s="1643"/>
      <c r="M202" s="1643"/>
      <c r="AJ202" s="1639">
        <v>11</v>
      </c>
    </row>
    <row customHeight="1" ht="11.549999999999999">
      <c r="J203" s="1643"/>
      <c r="K203" s="1643"/>
      <c r="L203" s="1643"/>
      <c r="M203" s="1643"/>
      <c r="AJ203" s="1639">
        <v>11</v>
      </c>
    </row>
    <row customHeight="1" ht="11.549999999999999">
      <c r="A204" s="998"/>
      <c r="B204" s="1639"/>
      <c r="D204" s="1639"/>
      <c r="J204" s="1643"/>
      <c r="K204" s="1643"/>
      <c r="L204" s="1643"/>
      <c r="M204" s="1643"/>
      <c r="O204" s="1639"/>
      <c r="R204" s="1639"/>
      <c r="S204" s="1639"/>
      <c r="T204" s="1639"/>
      <c r="U204" s="1639"/>
      <c r="W204" s="1639"/>
      <c r="X204" s="1639"/>
      <c r="Y204" s="1639"/>
      <c r="Z204" s="1639"/>
      <c r="AA204" s="1639"/>
      <c r="AB204" s="1639"/>
      <c r="AC204" s="1639"/>
      <c r="AD204" s="1639"/>
      <c r="AE204" s="1639"/>
      <c r="AF204" s="1639"/>
      <c r="AG204" s="1639"/>
      <c r="AH204" s="1639"/>
      <c r="AI204" s="1639"/>
      <c r="AJ204" s="1639">
        <v>11</v>
      </c>
    </row>
    <row customHeight="1" ht="11.549999999999999">
      <c r="A205" s="998"/>
      <c r="B205" s="1639"/>
      <c r="D205" s="1639"/>
      <c r="J205" s="1643"/>
      <c r="K205" s="1643"/>
      <c r="L205" s="1643"/>
      <c r="M205" s="1643"/>
      <c r="O205" s="1639"/>
      <c r="R205" s="1639"/>
      <c r="S205" s="1639"/>
      <c r="T205" s="1639"/>
      <c r="U205" s="1639"/>
      <c r="W205" s="1639"/>
      <c r="X205" s="1639"/>
      <c r="Y205" s="1639"/>
      <c r="Z205" s="1639"/>
      <c r="AA205" s="1639"/>
      <c r="AB205" s="1639"/>
      <c r="AC205" s="1639"/>
      <c r="AD205" s="1639"/>
      <c r="AE205" s="1639"/>
      <c r="AF205" s="1639"/>
      <c r="AG205" s="1639"/>
      <c r="AH205" s="1639"/>
      <c r="AI205" s="1639"/>
      <c r="AJ205" s="1639">
        <v>11</v>
      </c>
    </row>
    <row customHeight="1" ht="11.549999999999999">
      <c r="A206" s="998"/>
      <c r="B206" s="1639"/>
      <c r="D206" s="1639"/>
      <c r="J206" s="1643"/>
      <c r="K206" s="1643"/>
      <c r="L206" s="1643"/>
      <c r="M206" s="1643"/>
      <c r="O206" s="1639"/>
      <c r="R206" s="1639"/>
      <c r="S206" s="1639"/>
      <c r="T206" s="1639"/>
      <c r="U206" s="1639"/>
      <c r="W206" s="1639"/>
      <c r="X206" s="1639"/>
      <c r="Y206" s="1639"/>
      <c r="Z206" s="1639"/>
      <c r="AA206" s="1639"/>
      <c r="AB206" s="1639"/>
      <c r="AC206" s="1639"/>
      <c r="AD206" s="1639"/>
      <c r="AE206" s="1639"/>
      <c r="AF206" s="1639"/>
      <c r="AG206" s="1639"/>
      <c r="AH206" s="1639"/>
      <c r="AI206" s="1639"/>
      <c r="AJ206" s="1639">
        <v>11</v>
      </c>
    </row>
    <row customHeight="1" ht="11.549999999999999">
      <c r="A207" s="998"/>
      <c r="B207" s="1639"/>
      <c r="D207" s="1639"/>
      <c r="J207" s="1643"/>
      <c r="K207" s="1643"/>
      <c r="L207" s="1643"/>
      <c r="M207" s="1643"/>
      <c r="O207" s="1639"/>
      <c r="R207" s="1639"/>
      <c r="S207" s="1639"/>
      <c r="T207" s="1639"/>
      <c r="U207" s="1639"/>
      <c r="W207" s="1639"/>
      <c r="X207" s="1639"/>
      <c r="Y207" s="1639"/>
      <c r="Z207" s="1639"/>
      <c r="AA207" s="1639"/>
      <c r="AB207" s="1639"/>
      <c r="AC207" s="1639"/>
      <c r="AD207" s="1639"/>
      <c r="AE207" s="1639"/>
      <c r="AF207" s="1639"/>
      <c r="AG207" s="1639"/>
      <c r="AH207" s="1639"/>
      <c r="AI207" s="1639"/>
      <c r="AJ207" s="1639">
        <v>11</v>
      </c>
    </row>
    <row customHeight="1" ht="11.549999999999999">
      <c r="A208" s="998"/>
      <c r="B208" s="1639"/>
      <c r="D208" s="1639"/>
      <c r="J208" s="1643"/>
      <c r="K208" s="1643"/>
      <c r="L208" s="1643"/>
      <c r="M208" s="1643"/>
      <c r="O208" s="1639"/>
      <c r="R208" s="1639"/>
      <c r="S208" s="1639"/>
      <c r="T208" s="1639"/>
      <c r="U208" s="1639"/>
      <c r="W208" s="1639"/>
      <c r="X208" s="1639"/>
      <c r="Y208" s="1639"/>
      <c r="Z208" s="1639"/>
      <c r="AA208" s="1639"/>
      <c r="AB208" s="1639"/>
      <c r="AC208" s="1639"/>
      <c r="AD208" s="1639"/>
      <c r="AE208" s="1639"/>
      <c r="AF208" s="1639"/>
      <c r="AG208" s="1639"/>
      <c r="AH208" s="1639"/>
      <c r="AI208" s="1639"/>
      <c r="AJ208" s="1639">
        <v>11</v>
      </c>
    </row>
    <row customHeight="1" ht="11.549999999999999">
      <c r="A209" s="998"/>
      <c r="B209" s="1639"/>
      <c r="D209" s="1639"/>
      <c r="J209" s="1643"/>
      <c r="K209" s="1643"/>
      <c r="L209" s="1643"/>
      <c r="M209" s="1643"/>
      <c r="O209" s="1639"/>
      <c r="R209" s="1639"/>
      <c r="S209" s="1639"/>
      <c r="T209" s="1639"/>
      <c r="U209" s="1639"/>
      <c r="W209" s="1639"/>
      <c r="X209" s="1639"/>
      <c r="Y209" s="1639"/>
      <c r="Z209" s="1639"/>
      <c r="AA209" s="1639"/>
      <c r="AB209" s="1639"/>
      <c r="AC209" s="1639"/>
      <c r="AD209" s="1639"/>
      <c r="AE209" s="1639"/>
      <c r="AF209" s="1639"/>
      <c r="AG209" s="1639"/>
      <c r="AH209" s="1639"/>
      <c r="AI209" s="1639"/>
      <c r="AJ209" s="1639">
        <v>11</v>
      </c>
    </row>
    <row customHeight="1" ht="11.549999999999999">
      <c r="A210" s="998"/>
      <c r="B210" s="1639"/>
      <c r="D210" s="1639"/>
      <c r="J210" s="1643"/>
      <c r="K210" s="1643"/>
      <c r="L210" s="1643"/>
      <c r="M210" s="1643"/>
      <c r="O210" s="1639"/>
      <c r="R210" s="1639"/>
      <c r="S210" s="1639"/>
      <c r="T210" s="1639"/>
      <c r="U210" s="1639"/>
      <c r="W210" s="1639"/>
      <c r="X210" s="1639"/>
      <c r="Y210" s="1639"/>
      <c r="Z210" s="1639"/>
      <c r="AA210" s="1639"/>
      <c r="AB210" s="1639"/>
      <c r="AC210" s="1639"/>
      <c r="AD210" s="1639"/>
      <c r="AE210" s="1639"/>
      <c r="AF210" s="1639"/>
      <c r="AG210" s="1639"/>
      <c r="AH210" s="1639"/>
      <c r="AI210" s="1639"/>
      <c r="AJ210" s="1639">
        <v>11</v>
      </c>
    </row>
    <row customHeight="1" ht="11.549999999999999">
      <c r="A211" s="998"/>
      <c r="B211" s="1639"/>
      <c r="D211" s="1639"/>
      <c r="J211" s="1643"/>
      <c r="K211" s="1643"/>
      <c r="L211" s="1643"/>
      <c r="M211" s="1643"/>
      <c r="O211" s="1639"/>
      <c r="R211" s="1639"/>
      <c r="S211" s="1639"/>
      <c r="T211" s="1639"/>
      <c r="U211" s="1639"/>
      <c r="W211" s="1639"/>
      <c r="X211" s="1639"/>
      <c r="Y211" s="1639"/>
      <c r="Z211" s="1639"/>
      <c r="AA211" s="1639"/>
      <c r="AB211" s="1639"/>
      <c r="AC211" s="1639"/>
      <c r="AD211" s="1639"/>
      <c r="AE211" s="1639"/>
      <c r="AF211" s="1639"/>
      <c r="AG211" s="1639"/>
      <c r="AH211" s="1639"/>
      <c r="AI211" s="1639"/>
      <c r="AJ211" s="1639">
        <v>11</v>
      </c>
    </row>
    <row customHeight="1" ht="11.549999999999999">
      <c r="A212" s="998"/>
      <c r="B212" s="1639"/>
      <c r="D212" s="1639"/>
      <c r="J212" s="1643"/>
      <c r="K212" s="1643"/>
      <c r="L212" s="1643"/>
      <c r="M212" s="1643"/>
      <c r="O212" s="1639"/>
      <c r="R212" s="1639"/>
      <c r="S212" s="1639"/>
      <c r="T212" s="1639"/>
      <c r="U212" s="1639"/>
      <c r="W212" s="1639"/>
      <c r="X212" s="1639"/>
      <c r="Y212" s="1639"/>
      <c r="Z212" s="1639"/>
      <c r="AA212" s="1639"/>
      <c r="AB212" s="1639"/>
      <c r="AC212" s="1639"/>
      <c r="AD212" s="1639"/>
      <c r="AE212" s="1639"/>
      <c r="AF212" s="1639"/>
      <c r="AG212" s="1639"/>
      <c r="AH212" s="1639"/>
      <c r="AI212" s="1639"/>
      <c r="AJ212" s="1639">
        <v>11</v>
      </c>
    </row>
    <row customHeight="1" ht="11.549999999999999">
      <c r="A213" s="998"/>
      <c r="B213" s="1639"/>
      <c r="D213" s="1639"/>
      <c r="J213" s="1643"/>
      <c r="K213" s="1643"/>
      <c r="L213" s="1643"/>
      <c r="M213" s="1643"/>
      <c r="O213" s="1639"/>
      <c r="R213" s="1639"/>
      <c r="S213" s="1639"/>
      <c r="T213" s="1639"/>
      <c r="U213" s="1639"/>
      <c r="W213" s="1639"/>
      <c r="X213" s="1639"/>
      <c r="Y213" s="1639"/>
      <c r="Z213" s="1639"/>
      <c r="AA213" s="1639"/>
      <c r="AB213" s="1639"/>
      <c r="AC213" s="1639"/>
      <c r="AD213" s="1639"/>
      <c r="AE213" s="1639"/>
      <c r="AF213" s="1639"/>
      <c r="AG213" s="1639"/>
      <c r="AH213" s="1639"/>
      <c r="AI213" s="1639"/>
      <c r="AJ213" s="1639">
        <v>11</v>
      </c>
    </row>
    <row customHeight="1" ht="11.549999999999999">
      <c r="A214" s="998"/>
      <c r="B214" s="1639"/>
      <c r="D214" s="1639"/>
      <c r="J214" s="1643"/>
      <c r="K214" s="1643"/>
      <c r="L214" s="1643"/>
      <c r="M214" s="1643"/>
      <c r="O214" s="1639"/>
      <c r="R214" s="1639"/>
      <c r="S214" s="1639"/>
      <c r="T214" s="1639"/>
      <c r="U214" s="1639"/>
      <c r="W214" s="1639"/>
      <c r="X214" s="1639"/>
      <c r="Y214" s="1639"/>
      <c r="Z214" s="1639"/>
      <c r="AA214" s="1639"/>
      <c r="AB214" s="1639"/>
      <c r="AC214" s="1639"/>
      <c r="AD214" s="1639"/>
      <c r="AE214" s="1639"/>
      <c r="AF214" s="1639"/>
      <c r="AG214" s="1639"/>
      <c r="AH214" s="1639"/>
      <c r="AI214" s="1639"/>
      <c r="AJ214" s="1639">
        <v>11</v>
      </c>
    </row>
    <row customHeight="1" ht="11.25" hidden="1">
      <c r="A215" s="995" t="s">
        <v>82</v>
      </c>
      <c r="B215" s="1168">
        <v>0</v>
      </c>
      <c r="C215" s="1644">
        <v>0</v>
      </c>
      <c r="D215" s="1643">
        <v>3</v>
      </c>
      <c r="E215" s="1639">
        <v>7</v>
      </c>
      <c r="F215" s="1639">
        <v>54</v>
      </c>
      <c r="G215" s="1639">
        <v>10</v>
      </c>
      <c r="H215" s="1639">
        <v>0</v>
      </c>
      <c r="I215" s="1639">
        <v>40</v>
      </c>
      <c r="J215" s="1643">
        <v>0</v>
      </c>
      <c r="K215" s="1643">
        <v>0</v>
      </c>
      <c r="L215" s="1643">
        <v>0</v>
      </c>
      <c r="M215" s="1643">
        <v>0</v>
      </c>
      <c r="N215" s="1639">
        <v>102</v>
      </c>
      <c r="O215" s="1168">
        <v>9</v>
      </c>
      <c r="P215" s="1644">
        <v>5</v>
      </c>
      <c r="Q215" s="1644">
        <v>3</v>
      </c>
      <c r="R215" s="1168">
        <v>3</v>
      </c>
      <c r="S215" s="1168">
        <v>3</v>
      </c>
      <c r="T215" s="1168">
        <v>3</v>
      </c>
      <c r="U215" s="1168">
        <v>3</v>
      </c>
      <c r="V215" s="1644">
        <v>10</v>
      </c>
      <c r="W215" s="1168">
        <v>34</v>
      </c>
      <c r="X215" s="1168">
        <v>9</v>
      </c>
      <c r="Y215" s="552">
        <v>8</v>
      </c>
      <c r="Z215" s="1168">
        <v>8</v>
      </c>
      <c r="AA215" s="1168">
        <v>8</v>
      </c>
      <c r="AB215" s="1168">
        <v>8</v>
      </c>
      <c r="AC215" s="1168">
        <v>8</v>
      </c>
      <c r="AD215" s="1168">
        <v>8</v>
      </c>
      <c r="AE215" s="1640">
        <v>8</v>
      </c>
      <c r="AF215" s="1640">
        <v>8</v>
      </c>
      <c r="AG215" s="1640">
        <v>8</v>
      </c>
      <c r="AH215" s="1640">
        <v>8</v>
      </c>
      <c r="AI215" s="1640">
        <v>8</v>
      </c>
      <c r="AJ215" s="1639">
        <v>11</v>
      </c>
    </row>
  </sheetData>
  <sheetProtection sheet="1" formatColumns="0" formatRows="0" autoFilter="0" sort="1" insertRows="1" insertColumns="1" deleteRows="1" deleteColumns="1"/>
  <mergeCells count="9">
    <mergeCell ref="F45:G45"/>
    <mergeCell ref="E6:I6"/>
    <mergeCell ref="E7:I7"/>
    <mergeCell ref="F10:G10"/>
    <mergeCell ref="N10:N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 type="decimal" allowBlank="1" showErrorMessage="1" errorTitle="Ошибка" error="Допускается ввод только неотрицательных чисел!" sqref="H32:M32 H2:M2 H15:M15 H17:M27 H30:M30 H41:M42 H38:M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M36">
      <formula1>900</formula1>
    </dataValidation>
    <dataValidation type="decimal" allowBlank="1" showErrorMessage="1" errorTitle="Ошибка" error="Допускается ввод только действительных чисел!" sqref="H31:M31">
      <formula1>-9.99999999999999E+23</formula1>
      <formula2>9.99999999999999E+23</formula2>
    </dataValidation>
    <dataValidation type="decimal" allowBlank="1" showErrorMessage="1" errorTitle="Ошибка" error="Допускается ввод только действительных чисел!" sqref="H33:M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8A0F5-FD25-F74F-6142-8A4784669245}" mc:Ignorable="x14ac xr xr2 xr3">
  <sheetPr>
    <tabColor theme="9" tint="-0.25"/>
  </sheetPr>
  <dimension ref="A1:AF102"/>
  <sheetViews>
    <sheetView showGridLines="0" zoomScale="80" workbookViewId="0">
      <pane xSplit="8" ySplit="11" topLeftCell="Q12" activePane="bottomRight" state="frozen"/>
      <selection pane="bottomLeft" activeCell="A12" sqref="A12"/>
      <selection pane="topRight" activeCell="I1" sqref="I1"/>
      <selection pane="bottomRight" activeCell="Q31" sqref="Q31"/>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18" style="1643" width="44.00390625" customWidth="1"/>
    <col min="19" max="19" style="1643" width="73.00390625" customWidth="1"/>
    <col min="20" max="20" style="1643" width="3.00390625" customWidth="1"/>
    <col min="21" max="31" style="1643" width="10.00390625" customWidth="1"/>
    <col min="32" max="32"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425">
        <v>5</v>
      </c>
      <c r="AF1" s="425" t="s">
        <v>14</v>
      </c>
    </row>
    <row customHeight="1" ht="3">
      <c r="K2" s="1643"/>
      <c r="L2" s="1643"/>
      <c r="M2" s="1643"/>
      <c r="N2" s="1643"/>
      <c r="O2" s="1643"/>
      <c r="P2" s="1643"/>
      <c r="Q2" s="1643"/>
      <c r="R2" s="1643"/>
      <c r="AF2" s="513">
        <v>3</v>
      </c>
    </row>
    <row customHeight="1" ht="78.75">
      <c r="D3" s="22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60"/>
      <c r="F3" s="2261"/>
      <c r="K3" s="1643"/>
      <c r="L3" s="1643"/>
      <c r="M3" s="1643"/>
      <c r="N3" s="1643"/>
      <c r="O3" s="1643"/>
      <c r="P3" s="1643"/>
      <c r="Q3" s="1643"/>
      <c r="R3" s="1643"/>
      <c r="AF3" s="513">
        <v>75</v>
      </c>
    </row>
    <row s="1643" customFormat="1" customHeight="1" ht="21">
      <c r="A4" s="959"/>
      <c r="B4" s="519"/>
      <c r="D4" s="2235" t="str">
        <f>IF(org=0,"Не определено",org)</f>
        <v>АО "ДГК"</v>
      </c>
      <c r="E4" s="2236"/>
      <c r="F4" s="2237"/>
      <c r="K4" s="1643"/>
      <c r="L4" s="1643"/>
      <c r="M4" s="1643"/>
      <c r="N4" s="1643"/>
      <c r="O4" s="1643"/>
      <c r="P4" s="1643"/>
      <c r="Q4" s="1643"/>
      <c r="R4" s="1643"/>
      <c r="AF4" s="766">
        <v>20</v>
      </c>
    </row>
    <row customHeight="1" ht="11.549999999999999">
      <c r="C5" s="517"/>
      <c r="D5" s="596"/>
      <c r="E5" s="596"/>
      <c r="F5" s="596"/>
      <c r="G5" s="596"/>
      <c r="H5" s="760"/>
      <c r="I5" s="596"/>
      <c r="J5" s="760"/>
      <c r="K5" s="1643"/>
      <c r="L5" s="760"/>
      <c r="M5" s="1643"/>
      <c r="N5" s="760"/>
      <c r="O5" s="1643"/>
      <c r="P5" s="760"/>
      <c r="Q5" s="1643"/>
      <c r="R5" s="760"/>
      <c r="S5" s="596"/>
      <c r="AF5" s="513">
        <v>11</v>
      </c>
    </row>
    <row customHeight="1" ht="1.05">
      <c r="C6" s="517"/>
      <c r="D6" s="517"/>
      <c r="E6" s="530"/>
      <c r="F6" s="622"/>
      <c r="G6" s="1030"/>
      <c r="H6" s="1030"/>
      <c r="I6" s="1030" t="s">
        <v>126</v>
      </c>
      <c r="J6" s="1030"/>
      <c r="K6" s="1030" t="s">
        <v>132</v>
      </c>
      <c r="L6" s="1030"/>
      <c r="M6" s="1030" t="s">
        <v>135</v>
      </c>
      <c r="N6" s="1030"/>
      <c r="O6" s="1030" t="s">
        <v>137</v>
      </c>
      <c r="P6" s="1030"/>
      <c r="Q6" s="1030" t="s">
        <v>139</v>
      </c>
      <c r="R6" s="1030"/>
      <c r="AF6" s="513">
        <v>1</v>
      </c>
    </row>
    <row customHeight="1" ht="11.549999999999999">
      <c r="D7" s="719"/>
      <c r="E7" s="2388" t="s">
        <v>114</v>
      </c>
      <c r="F7" s="2389"/>
      <c r="G7" s="2414" t="str">
        <f>IF(G6="","",INDEX(DIFFERENTIATION_UNMERGE_VD,MATCH(G6,DIFFERENTIATION_ID_DIFF,0)))</f>
        <v/>
      </c>
      <c r="H7" s="2415"/>
      <c r="I7" s="241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415"/>
      <c r="K7" s="2414" t="str">
        <f>IF(K6="","",INDEX(DIFFERENTIATION_UNMERGE_VD,MATCH(K6,DIFFERENTIATION_ID_DIFF,0)))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415"/>
      <c r="M7" s="2414" t="str">
        <f>IF(M6="","",INDEX(DIFFERENTIATION_UNMERGE_VD,MATCH(M6,DIFFERENTIATION_ID_DIFF,0)))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415"/>
      <c r="O7" s="2414" t="str">
        <f>IF(O6="","",INDEX(DIFFERENTIATION_UNMERGE_VD,MATCH(O6,DIFFERENTIATION_ID_DIFF,0)))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7" s="2415"/>
      <c r="Q7" s="2414" t="str">
        <f>IF(Q6="","",INDEX(DIFFERENTIATION_UNMERGE_VD,MATCH(Q6,DIFFERENTIATION_ID_DIFF,0)))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R7" s="2415"/>
      <c r="S7" s="2196"/>
      <c r="T7" s="517"/>
      <c r="AF7" s="513">
        <v>11</v>
      </c>
    </row>
    <row customHeight="1" ht="11.549999999999999">
      <c r="A8" s="712"/>
      <c r="D8" s="719"/>
      <c r="E8" s="2388" t="s">
        <v>581</v>
      </c>
      <c r="F8" s="2389"/>
      <c r="G8" s="2414" t="str">
        <f>IF(G6="","",INDEX(DIFFERENTIATION_UNMERGE_AREA,MATCH(G6,DIFFERENTIATION_ID_DIFF,0)))</f>
        <v/>
      </c>
      <c r="H8" s="2415"/>
      <c r="I8" s="2414" t="str">
        <f>IF(I6="","",INDEX(DIFFERENTIATION_UNMERGE_AREA,MATCH(I6,DIFFERENTIATION_ID_DIFF,0)))</f>
        <v>Территория 1</v>
      </c>
      <c r="J8" s="2415"/>
      <c r="K8" s="2414" t="str">
        <f>IF(K6="","",INDEX(DIFFERENTIATION_UNMERGE_AREA,MATCH(K6,DIFFERENTIATION_ID_DIFF,0)))</f>
        <v>Территория 2</v>
      </c>
      <c r="L8" s="2415"/>
      <c r="M8" s="2414" t="str">
        <f>IF(M6="","",INDEX(DIFFERENTIATION_UNMERGE_AREA,MATCH(M6,DIFFERENTIATION_ID_DIFF,0)))</f>
        <v>Территория 2</v>
      </c>
      <c r="N8" s="2415"/>
      <c r="O8" s="2414" t="str">
        <f>IF(O6="","",INDEX(DIFFERENTIATION_UNMERGE_AREA,MATCH(O6,DIFFERENTIATION_ID_DIFF,0)))</f>
        <v>Территория 3</v>
      </c>
      <c r="P8" s="2415"/>
      <c r="Q8" s="2414" t="str">
        <f>IF(Q6="","",INDEX(DIFFERENTIATION_UNMERGE_AREA,MATCH(Q6,DIFFERENTIATION_ID_DIFF,0)))</f>
        <v>Территория 3</v>
      </c>
      <c r="R8" s="2415"/>
      <c r="S8" s="2220"/>
      <c r="T8" s="517"/>
      <c r="AF8" s="513">
        <v>11</v>
      </c>
    </row>
    <row customHeight="1" ht="11.549999999999999">
      <c r="A9" s="712"/>
      <c r="D9" s="719"/>
      <c r="E9" s="2388" t="s">
        <v>582</v>
      </c>
      <c r="F9" s="2389"/>
      <c r="G9" s="2414" t="str">
        <f>IF(G6="","",INDEX(DIFFERENTIATION_UNMERGE_SYSTEM,MATCH(G6,DIFFERENTIATION_ID_DIFF,0)))</f>
        <v/>
      </c>
      <c r="H9" s="2415"/>
      <c r="I9" s="2414" t="str">
        <f>IF(I6="","",INDEX(DIFFERENTIATION_UNMERGE_SYSTEM,MATCH(I6,DIFFERENTIATION_ID_DIFF,0)))</f>
        <v>Благовещенская ТЭЦ, ТС Благовещенск</v>
      </c>
      <c r="J9" s="2415"/>
      <c r="K9" s="2414" t="str">
        <f>IF(K6="","",INDEX(DIFFERENTIATION_UNMERGE_SYSTEM,MATCH(K6,DIFFERENTIATION_ID_DIFF,0)))</f>
        <v>Райчихинская ГРЭС, ТС Прогресс</v>
      </c>
      <c r="L9" s="2415"/>
      <c r="M9" s="2414" t="str">
        <f>IF(M6="","",INDEX(DIFFERENTIATION_UNMERGE_SYSTEM,MATCH(M6,DIFFERENTIATION_ID_DIFF,0)))</f>
        <v>Котельная (Новорайчихинск)</v>
      </c>
      <c r="N9" s="2415"/>
      <c r="O9" s="2414" t="str">
        <f>IF(O6="","",INDEX(DIFFERENTIATION_UNMERGE_SYSTEM,MATCH(O6,DIFFERENTIATION_ID_DIFF,0)))</f>
        <v>Благовещенская ТЭЦ (с. Чигири)</v>
      </c>
      <c r="P9" s="2415"/>
      <c r="Q9" s="2414" t="str">
        <f>IF(Q6="","",INDEX(DIFFERENTIATION_UNMERGE_SYSTEM,MATCH(Q6,DIFFERENTIATION_ID_DIFF,0)))</f>
        <v>Котельная Центральная (с.Чигири)</v>
      </c>
      <c r="R9" s="2415"/>
      <c r="S9" s="2220"/>
      <c r="T9" s="517"/>
      <c r="AF9" s="513">
        <v>11</v>
      </c>
    </row>
    <row s="1643" customFormat="1" customHeight="1" ht="11.549999999999999">
      <c r="A10" s="1029"/>
      <c r="B10" s="519"/>
      <c r="D10" s="2122" t="s">
        <v>317</v>
      </c>
      <c r="E10" s="2123"/>
      <c r="F10" s="2123"/>
      <c r="G10" s="2123"/>
      <c r="H10" s="2123"/>
      <c r="I10" s="2123"/>
      <c r="J10" s="2124"/>
      <c r="K10" s="2290"/>
      <c r="L10" s="2290"/>
      <c r="M10" s="2290"/>
      <c r="N10" s="2290"/>
      <c r="O10" s="2290"/>
      <c r="P10" s="2290"/>
      <c r="Q10" s="2290"/>
      <c r="R10" s="2290"/>
      <c r="S10" s="2220"/>
      <c r="T10" s="517"/>
      <c r="AF10" s="766">
        <v>11</v>
      </c>
    </row>
    <row s="1643" customFormat="1" customHeight="1" ht="24">
      <c r="A11" s="2406"/>
      <c r="B11" s="2406"/>
      <c r="C11" s="665"/>
      <c r="D11" s="711" t="s">
        <v>88</v>
      </c>
      <c r="E11" s="713" t="s">
        <v>851</v>
      </c>
      <c r="F11" s="713" t="s">
        <v>583</v>
      </c>
      <c r="G11" s="473" t="s">
        <v>320</v>
      </c>
      <c r="H11" s="473" t="s">
        <v>407</v>
      </c>
      <c r="I11" s="815" t="s">
        <v>320</v>
      </c>
      <c r="J11" s="816" t="s">
        <v>407</v>
      </c>
      <c r="K11" s="2387" t="s">
        <v>320</v>
      </c>
      <c r="L11" s="2387" t="s">
        <v>407</v>
      </c>
      <c r="M11" s="2387" t="s">
        <v>320</v>
      </c>
      <c r="N11" s="2387" t="s">
        <v>407</v>
      </c>
      <c r="O11" s="2387" t="s">
        <v>320</v>
      </c>
      <c r="P11" s="2387" t="s">
        <v>407</v>
      </c>
      <c r="Q11" s="2387" t="s">
        <v>320</v>
      </c>
      <c r="R11" s="2387" t="s">
        <v>407</v>
      </c>
      <c r="S11" s="2253"/>
      <c r="T11" s="666"/>
      <c r="AF11" s="517">
        <v>23</v>
      </c>
    </row>
    <row s="1650" customFormat="1" customHeight="1" ht="10.5">
      <c r="A12" s="960"/>
      <c r="D12" s="1033" t="s">
        <v>118</v>
      </c>
      <c r="E12" s="1033" t="s">
        <v>102</v>
      </c>
      <c r="F12" s="1033" t="s">
        <v>90</v>
      </c>
      <c r="G12" s="1034" t="str">
        <f>G1&amp;".1"</f>
        <v>4.1</v>
      </c>
      <c r="H12" s="1034" t="str">
        <f>G1&amp;".2"</f>
        <v>4.2</v>
      </c>
      <c r="I12" s="1034" t="str">
        <f>I1&amp;".1"</f>
        <v>4.1</v>
      </c>
      <c r="J12" s="1034" t="str">
        <f>I1&amp;".2"</f>
        <v>4.2</v>
      </c>
      <c r="K12" s="2395" t="str">
        <f>K1&amp;".1"</f>
        <v>4.1</v>
      </c>
      <c r="L12" s="2395" t="str">
        <f>K1&amp;".2"</f>
        <v>4.2</v>
      </c>
      <c r="M12" s="2395" t="str">
        <f>M1&amp;".1"</f>
        <v>4.1</v>
      </c>
      <c r="N12" s="2395" t="str">
        <f>M1&amp;".2"</f>
        <v>4.2</v>
      </c>
      <c r="O12" s="2395" t="str">
        <f>O1&amp;".1"</f>
        <v>4.1</v>
      </c>
      <c r="P12" s="2395" t="str">
        <f>O1&amp;".2"</f>
        <v>4.2</v>
      </c>
      <c r="Q12" s="2395" t="str">
        <f>Q1&amp;".1"</f>
        <v>4.1</v>
      </c>
      <c r="R12" s="2395" t="str">
        <f>Q1&amp;".2"</f>
        <v>4.2</v>
      </c>
      <c r="S12" s="1034"/>
      <c r="AF12" s="519">
        <v>10</v>
      </c>
    </row>
    <row customHeight="1" ht="22.5">
      <c r="A13" s="2413" t="s">
        <v>852</v>
      </c>
      <c r="D13" s="961" t="s">
        <v>118</v>
      </c>
      <c r="E13" s="287" t="s">
        <v>853</v>
      </c>
      <c r="F13" s="668" t="s">
        <v>854</v>
      </c>
      <c r="G13" s="565"/>
      <c r="H13" s="669"/>
      <c r="I13" s="565">
        <v>0.22</v>
      </c>
      <c r="J13" s="669"/>
      <c r="K13" s="565">
        <v>0</v>
      </c>
      <c r="L13" s="670"/>
      <c r="M13" s="565">
        <v>0.1</v>
      </c>
      <c r="N13" s="670"/>
      <c r="O13" s="565">
        <v>0</v>
      </c>
      <c r="P13" s="670"/>
      <c r="Q13" s="565">
        <v>0.19</v>
      </c>
      <c r="R13" s="670"/>
      <c r="S13" s="297" t="s">
        <v>855</v>
      </c>
      <c r="T13" s="728"/>
      <c r="AF13" s="513">
        <v>0</v>
      </c>
    </row>
    <row customHeight="1" ht="22.5">
      <c r="A14" s="2413"/>
      <c r="D14" s="547" t="s">
        <v>102</v>
      </c>
      <c r="E14" s="287" t="s">
        <v>856</v>
      </c>
      <c r="F14" s="668" t="s">
        <v>857</v>
      </c>
      <c r="G14" s="565"/>
      <c r="H14" s="670"/>
      <c r="I14" s="565">
        <v>1</v>
      </c>
      <c r="J14" s="670"/>
      <c r="K14" s="565">
        <v>0</v>
      </c>
      <c r="L14" s="670"/>
      <c r="M14" s="565">
        <v>0</v>
      </c>
      <c r="N14" s="670"/>
      <c r="O14" s="565">
        <v>0</v>
      </c>
      <c r="P14" s="670"/>
      <c r="Q14" s="565">
        <v>0</v>
      </c>
      <c r="R14" s="670"/>
      <c r="S14" s="297" t="s">
        <v>858</v>
      </c>
      <c r="T14" s="728"/>
      <c r="AF14" s="513">
        <v>0</v>
      </c>
    </row>
    <row s="1643" customFormat="1" customHeight="1" ht="78.75">
      <c r="A15" s="2413"/>
      <c r="B15" s="519"/>
      <c r="D15" s="961" t="s">
        <v>90</v>
      </c>
      <c r="E15" s="715" t="s">
        <v>859</v>
      </c>
      <c r="F15" s="958" t="s">
        <v>323</v>
      </c>
      <c r="G15" s="958" t="s">
        <v>323</v>
      </c>
      <c r="H15" s="114"/>
      <c r="I15" s="958" t="s">
        <v>323</v>
      </c>
      <c r="J15" s="114"/>
      <c r="K15" s="2387" t="s">
        <v>323</v>
      </c>
      <c r="L15" s="2522"/>
      <c r="M15" s="2387" t="s">
        <v>323</v>
      </c>
      <c r="N15" s="2522"/>
      <c r="O15" s="2387" t="s">
        <v>323</v>
      </c>
      <c r="P15" s="2522"/>
      <c r="Q15" s="2387" t="s">
        <v>323</v>
      </c>
      <c r="R15" s="2522"/>
      <c r="S15" s="297" t="s">
        <v>860</v>
      </c>
      <c r="T15" s="728"/>
      <c r="AF15" s="766">
        <v>0</v>
      </c>
    </row>
    <row s="1643" customFormat="1" customHeight="1" ht="22.5">
      <c r="A16" s="2413"/>
      <c r="B16" s="519"/>
      <c r="D16" s="961" t="s">
        <v>341</v>
      </c>
      <c r="E16" s="962" t="s">
        <v>861</v>
      </c>
      <c r="F16" s="958" t="s">
        <v>862</v>
      </c>
      <c r="G16" s="825"/>
      <c r="H16" s="114"/>
      <c r="I16" s="825">
        <v>66036</v>
      </c>
      <c r="J16" s="114"/>
      <c r="K16" s="825">
        <v>0</v>
      </c>
      <c r="L16" s="2522"/>
      <c r="M16" s="825">
        <v>3</v>
      </c>
      <c r="N16" s="2522"/>
      <c r="O16" s="825">
        <v>3681</v>
      </c>
      <c r="P16" s="2522"/>
      <c r="Q16" s="825">
        <v>52</v>
      </c>
      <c r="R16" s="2522"/>
      <c r="S16" s="297"/>
      <c r="T16" s="728"/>
      <c r="AF16" s="766">
        <v>0</v>
      </c>
    </row>
    <row s="1643" customFormat="1" customHeight="1" ht="22.5">
      <c r="A17" s="2413"/>
      <c r="B17" s="519"/>
      <c r="D17" s="961" t="s">
        <v>349</v>
      </c>
      <c r="E17" s="962" t="s">
        <v>863</v>
      </c>
      <c r="F17" s="958" t="s">
        <v>864</v>
      </c>
      <c r="G17" s="825"/>
      <c r="H17" s="114"/>
      <c r="I17" s="825">
        <v>95</v>
      </c>
      <c r="J17" s="114"/>
      <c r="K17" s="825">
        <v>0</v>
      </c>
      <c r="L17" s="2522"/>
      <c r="M17" s="825">
        <v>62</v>
      </c>
      <c r="N17" s="2522"/>
      <c r="O17" s="825">
        <v>3</v>
      </c>
      <c r="P17" s="2522"/>
      <c r="Q17" s="825">
        <v>48</v>
      </c>
      <c r="R17" s="2522"/>
      <c r="S17" s="297"/>
      <c r="T17" s="728"/>
      <c r="AF17" s="766">
        <v>0</v>
      </c>
    </row>
    <row s="1643" customFormat="1" customHeight="1" ht="33.75">
      <c r="A18" s="2413"/>
      <c r="B18" s="519"/>
      <c r="D18" s="961" t="s">
        <v>351</v>
      </c>
      <c r="E18" s="962" t="s">
        <v>865</v>
      </c>
      <c r="F18" s="958" t="s">
        <v>588</v>
      </c>
      <c r="G18" s="688"/>
      <c r="H18" s="114"/>
      <c r="I18" s="688">
        <v>835457.28</v>
      </c>
      <c r="J18" s="114"/>
      <c r="K18" s="688">
        <v>0</v>
      </c>
      <c r="L18" s="2522"/>
      <c r="M18" s="688">
        <v>1229.57</v>
      </c>
      <c r="N18" s="2522"/>
      <c r="O18" s="688">
        <v>61930.27</v>
      </c>
      <c r="P18" s="2522"/>
      <c r="Q18" s="688">
        <v>2977.12</v>
      </c>
      <c r="R18" s="2522"/>
      <c r="S18" s="297"/>
      <c r="T18" s="728"/>
      <c r="AF18" s="766">
        <v>0</v>
      </c>
    </row>
    <row customHeight="1" ht="101.25">
      <c r="A19" s="2413"/>
      <c r="D19" s="961" t="s">
        <v>91</v>
      </c>
      <c r="E19" s="287" t="s">
        <v>866</v>
      </c>
      <c r="F19" s="668" t="s">
        <v>563</v>
      </c>
      <c r="G19" s="671"/>
      <c r="H19" s="670"/>
      <c r="I19" s="2538" t="s">
        <v>867</v>
      </c>
      <c r="J19" s="670"/>
      <c r="K19" s="2538" t="s">
        <v>867</v>
      </c>
      <c r="L19" s="670"/>
      <c r="M19" s="2538" t="s">
        <v>867</v>
      </c>
      <c r="N19" s="670"/>
      <c r="O19" s="2538" t="s">
        <v>867</v>
      </c>
      <c r="P19" s="670"/>
      <c r="Q19" s="2538" t="s">
        <v>867</v>
      </c>
      <c r="R19" s="670"/>
      <c r="S19" s="297" t="s">
        <v>868</v>
      </c>
      <c r="T19" s="728"/>
      <c r="AF19" s="513">
        <v>0</v>
      </c>
    </row>
    <row s="1643" customFormat="1" customHeight="1" ht="18.75">
      <c r="A20" s="2413"/>
      <c r="C20" s="964"/>
      <c r="D20" s="961" t="s">
        <v>786</v>
      </c>
      <c r="E20" s="962" t="s">
        <v>869</v>
      </c>
      <c r="F20" s="958" t="s">
        <v>323</v>
      </c>
      <c r="G20" s="958" t="s">
        <v>323</v>
      </c>
      <c r="H20" s="957" t="s">
        <v>323</v>
      </c>
      <c r="I20" s="958" t="s">
        <v>323</v>
      </c>
      <c r="J20" s="957" t="s">
        <v>323</v>
      </c>
      <c r="K20" s="2387" t="s">
        <v>323</v>
      </c>
      <c r="L20" s="2281" t="s">
        <v>323</v>
      </c>
      <c r="M20" s="2387" t="s">
        <v>323</v>
      </c>
      <c r="N20" s="2281" t="s">
        <v>323</v>
      </c>
      <c r="O20" s="2387" t="s">
        <v>323</v>
      </c>
      <c r="P20" s="2281" t="s">
        <v>323</v>
      </c>
      <c r="Q20" s="2387" t="s">
        <v>323</v>
      </c>
      <c r="R20" s="2281" t="s">
        <v>323</v>
      </c>
      <c r="S20" s="956"/>
      <c r="T20" s="728"/>
      <c r="AE20" s="683"/>
      <c r="AF20" s="766">
        <v>0</v>
      </c>
    </row>
    <row s="1643" customFormat="1" customHeight="1" ht="33.75">
      <c r="A21" s="2413"/>
      <c r="C21" s="964"/>
      <c r="D21" s="961" t="s">
        <v>789</v>
      </c>
      <c r="E21" s="584" t="s">
        <v>870</v>
      </c>
      <c r="F21" s="958" t="s">
        <v>871</v>
      </c>
      <c r="G21" s="688"/>
      <c r="H21" s="114"/>
      <c r="I21" s="688"/>
      <c r="J21" s="114"/>
      <c r="K21" s="688"/>
      <c r="L21" s="2522"/>
      <c r="M21" s="688"/>
      <c r="N21" s="2522"/>
      <c r="O21" s="688"/>
      <c r="P21" s="2522"/>
      <c r="Q21" s="688"/>
      <c r="R21" s="2522"/>
      <c r="S21" s="956"/>
      <c r="T21" s="728"/>
      <c r="AE21" s="683"/>
      <c r="AF21" s="766">
        <v>0</v>
      </c>
    </row>
    <row s="1643" customFormat="1" customHeight="1" ht="33.75">
      <c r="A22" s="2413"/>
      <c r="C22" s="964"/>
      <c r="D22" s="961" t="s">
        <v>792</v>
      </c>
      <c r="E22" s="584" t="s">
        <v>872</v>
      </c>
      <c r="F22" s="958" t="s">
        <v>873</v>
      </c>
      <c r="G22" s="688"/>
      <c r="H22" s="114"/>
      <c r="I22" s="688"/>
      <c r="J22" s="114"/>
      <c r="K22" s="688"/>
      <c r="L22" s="2522"/>
      <c r="M22" s="688"/>
      <c r="N22" s="2522"/>
      <c r="O22" s="688"/>
      <c r="P22" s="2522"/>
      <c r="Q22" s="688"/>
      <c r="R22" s="2522"/>
      <c r="S22" s="956"/>
      <c r="T22" s="728"/>
      <c r="AE22" s="683"/>
      <c r="AF22" s="766">
        <v>0</v>
      </c>
    </row>
    <row s="1643" customFormat="1" customHeight="1" ht="22.5">
      <c r="A23" s="2413"/>
      <c r="C23" s="964"/>
      <c r="D23" s="961" t="s">
        <v>830</v>
      </c>
      <c r="E23" s="962" t="s">
        <v>874</v>
      </c>
      <c r="F23" s="958" t="s">
        <v>323</v>
      </c>
      <c r="G23" s="958" t="s">
        <v>323</v>
      </c>
      <c r="H23" s="957" t="s">
        <v>323</v>
      </c>
      <c r="I23" s="958" t="s">
        <v>323</v>
      </c>
      <c r="J23" s="957" t="s">
        <v>323</v>
      </c>
      <c r="K23" s="2387" t="s">
        <v>323</v>
      </c>
      <c r="L23" s="2281" t="s">
        <v>323</v>
      </c>
      <c r="M23" s="2387" t="s">
        <v>323</v>
      </c>
      <c r="N23" s="2281" t="s">
        <v>323</v>
      </c>
      <c r="O23" s="2387" t="s">
        <v>323</v>
      </c>
      <c r="P23" s="2281" t="s">
        <v>323</v>
      </c>
      <c r="Q23" s="2387" t="s">
        <v>323</v>
      </c>
      <c r="R23" s="2281" t="s">
        <v>323</v>
      </c>
      <c r="S23" s="956"/>
      <c r="T23" s="728"/>
      <c r="AE23" s="683"/>
      <c r="AF23" s="766">
        <v>0</v>
      </c>
    </row>
    <row s="1643" customFormat="1" customHeight="1" ht="22.5">
      <c r="A24" s="2413"/>
      <c r="C24" s="964"/>
      <c r="D24" s="961" t="s">
        <v>875</v>
      </c>
      <c r="E24" s="584" t="s">
        <v>876</v>
      </c>
      <c r="F24" s="958" t="s">
        <v>877</v>
      </c>
      <c r="G24" s="688"/>
      <c r="H24" s="694"/>
      <c r="I24" s="688"/>
      <c r="J24" s="694"/>
      <c r="K24" s="688"/>
      <c r="L24" s="2374"/>
      <c r="M24" s="688"/>
      <c r="N24" s="2374"/>
      <c r="O24" s="688"/>
      <c r="P24" s="2374"/>
      <c r="Q24" s="688"/>
      <c r="R24" s="2374"/>
      <c r="S24" s="956"/>
      <c r="T24" s="728"/>
      <c r="AE24" s="683"/>
      <c r="AF24" s="766">
        <v>0</v>
      </c>
    </row>
    <row s="1643" customFormat="1" customHeight="1" ht="22.5">
      <c r="A25" s="2413"/>
      <c r="C25" s="964"/>
      <c r="D25" s="961" t="s">
        <v>878</v>
      </c>
      <c r="E25" s="584" t="s">
        <v>879</v>
      </c>
      <c r="F25" s="958" t="s">
        <v>323</v>
      </c>
      <c r="G25" s="958" t="s">
        <v>323</v>
      </c>
      <c r="H25" s="957" t="s">
        <v>323</v>
      </c>
      <c r="I25" s="958" t="s">
        <v>323</v>
      </c>
      <c r="J25" s="957" t="s">
        <v>323</v>
      </c>
      <c r="K25" s="2387" t="s">
        <v>323</v>
      </c>
      <c r="L25" s="2281" t="s">
        <v>323</v>
      </c>
      <c r="M25" s="2387" t="s">
        <v>323</v>
      </c>
      <c r="N25" s="2281" t="s">
        <v>323</v>
      </c>
      <c r="O25" s="2387" t="s">
        <v>323</v>
      </c>
      <c r="P25" s="2281" t="s">
        <v>323</v>
      </c>
      <c r="Q25" s="2387" t="s">
        <v>323</v>
      </c>
      <c r="R25" s="2281" t="s">
        <v>323</v>
      </c>
      <c r="S25" s="956"/>
      <c r="T25" s="728"/>
      <c r="AE25" s="683"/>
      <c r="AF25" s="766">
        <v>0</v>
      </c>
    </row>
    <row s="1643" customFormat="1" customHeight="1" ht="18.75">
      <c r="A26" s="2413"/>
      <c r="C26" s="964"/>
      <c r="D26" s="961" t="s">
        <v>880</v>
      </c>
      <c r="E26" s="561" t="s">
        <v>881</v>
      </c>
      <c r="F26" s="958" t="s">
        <v>882</v>
      </c>
      <c r="G26" s="688"/>
      <c r="H26" s="694"/>
      <c r="I26" s="688"/>
      <c r="J26" s="694"/>
      <c r="K26" s="688"/>
      <c r="L26" s="2374"/>
      <c r="M26" s="688"/>
      <c r="N26" s="2374"/>
      <c r="O26" s="688"/>
      <c r="P26" s="2374"/>
      <c r="Q26" s="688"/>
      <c r="R26" s="2374"/>
      <c r="S26" s="956"/>
      <c r="T26" s="728"/>
      <c r="AE26" s="683"/>
      <c r="AF26" s="766">
        <v>0</v>
      </c>
    </row>
    <row s="1643" customFormat="1" customHeight="1" ht="18.75">
      <c r="A27" s="2413"/>
      <c r="C27" s="964"/>
      <c r="D27" s="961" t="s">
        <v>883</v>
      </c>
      <c r="E27" s="561" t="s">
        <v>884</v>
      </c>
      <c r="F27" s="958" t="s">
        <v>885</v>
      </c>
      <c r="G27" s="688"/>
      <c r="H27" s="694"/>
      <c r="I27" s="688"/>
      <c r="J27" s="694"/>
      <c r="K27" s="688"/>
      <c r="L27" s="2374"/>
      <c r="M27" s="688"/>
      <c r="N27" s="2374"/>
      <c r="O27" s="688"/>
      <c r="P27" s="2374"/>
      <c r="Q27" s="688"/>
      <c r="R27" s="2374"/>
      <c r="S27" s="956"/>
      <c r="T27" s="728"/>
      <c r="AE27" s="683"/>
      <c r="AF27" s="766">
        <v>0</v>
      </c>
    </row>
    <row s="1643" customFormat="1" customHeight="1" ht="18.75">
      <c r="A28" s="2413"/>
      <c r="C28" s="964"/>
      <c r="D28" s="961" t="s">
        <v>886</v>
      </c>
      <c r="E28" s="584" t="s">
        <v>887</v>
      </c>
      <c r="F28" s="958" t="s">
        <v>323</v>
      </c>
      <c r="G28" s="958" t="s">
        <v>323</v>
      </c>
      <c r="H28" s="957" t="s">
        <v>323</v>
      </c>
      <c r="I28" s="958" t="s">
        <v>323</v>
      </c>
      <c r="J28" s="957" t="s">
        <v>323</v>
      </c>
      <c r="K28" s="2387" t="s">
        <v>323</v>
      </c>
      <c r="L28" s="2281" t="s">
        <v>323</v>
      </c>
      <c r="M28" s="2387" t="s">
        <v>323</v>
      </c>
      <c r="N28" s="2281" t="s">
        <v>323</v>
      </c>
      <c r="O28" s="2387" t="s">
        <v>323</v>
      </c>
      <c r="P28" s="2281" t="s">
        <v>323</v>
      </c>
      <c r="Q28" s="2387" t="s">
        <v>323</v>
      </c>
      <c r="R28" s="2281" t="s">
        <v>323</v>
      </c>
      <c r="S28" s="956"/>
      <c r="T28" s="728"/>
      <c r="AE28" s="683"/>
      <c r="AF28" s="766">
        <v>0</v>
      </c>
    </row>
    <row s="1643" customFormat="1" customHeight="1" ht="18.75">
      <c r="A29" s="2413"/>
      <c r="C29" s="964"/>
      <c r="D29" s="961" t="s">
        <v>888</v>
      </c>
      <c r="E29" s="561" t="s">
        <v>881</v>
      </c>
      <c r="F29" s="958" t="s">
        <v>889</v>
      </c>
      <c r="G29" s="688"/>
      <c r="H29" s="694"/>
      <c r="I29" s="688"/>
      <c r="J29" s="694"/>
      <c r="K29" s="688"/>
      <c r="L29" s="2374"/>
      <c r="M29" s="688"/>
      <c r="N29" s="2374"/>
      <c r="O29" s="688"/>
      <c r="P29" s="2374"/>
      <c r="Q29" s="688"/>
      <c r="R29" s="2374"/>
      <c r="S29" s="956"/>
      <c r="T29" s="728"/>
      <c r="AE29" s="683"/>
      <c r="AF29" s="766">
        <v>0</v>
      </c>
    </row>
    <row s="1643" customFormat="1" customHeight="1" ht="18.75">
      <c r="A30" s="2413"/>
      <c r="C30" s="964"/>
      <c r="D30" s="961" t="s">
        <v>890</v>
      </c>
      <c r="E30" s="561" t="s">
        <v>891</v>
      </c>
      <c r="F30" s="958" t="s">
        <v>892</v>
      </c>
      <c r="G30" s="688"/>
      <c r="H30" s="694"/>
      <c r="I30" s="688"/>
      <c r="J30" s="694"/>
      <c r="K30" s="688"/>
      <c r="L30" s="2374"/>
      <c r="M30" s="688"/>
      <c r="N30" s="2374"/>
      <c r="O30" s="688"/>
      <c r="P30" s="2374"/>
      <c r="Q30" s="688"/>
      <c r="R30" s="2374"/>
      <c r="S30" s="956"/>
      <c r="T30" s="728"/>
      <c r="AE30" s="683"/>
      <c r="AF30" s="766">
        <v>0</v>
      </c>
    </row>
    <row customHeight="1" ht="126.75">
      <c r="A31" s="2413"/>
      <c r="D31" s="961" t="s">
        <v>119</v>
      </c>
      <c r="E31" s="287" t="s">
        <v>893</v>
      </c>
      <c r="F31" s="668" t="s">
        <v>575</v>
      </c>
      <c r="G31" s="565"/>
      <c r="H31" s="670"/>
      <c r="I31" s="565">
        <v>100</v>
      </c>
      <c r="J31" s="670"/>
      <c r="K31" s="565">
        <v>100</v>
      </c>
      <c r="L31" s="670"/>
      <c r="M31" s="565">
        <v>100</v>
      </c>
      <c r="N31" s="670"/>
      <c r="O31" s="565">
        <v>100</v>
      </c>
      <c r="P31" s="670"/>
      <c r="Q31" s="565">
        <v>100</v>
      </c>
      <c r="R31" s="670"/>
      <c r="S31" s="297" t="s">
        <v>894</v>
      </c>
      <c r="T31" s="728"/>
      <c r="AF31" s="513">
        <v>0</v>
      </c>
    </row>
    <row customHeight="1" ht="56.25">
      <c r="A32" s="2413"/>
      <c r="D32" s="961" t="s">
        <v>92</v>
      </c>
      <c r="E32" s="287" t="s">
        <v>895</v>
      </c>
      <c r="F32" s="547" t="s">
        <v>864</v>
      </c>
      <c r="G32" s="565"/>
      <c r="H32" s="670"/>
      <c r="I32" s="565">
        <v>3</v>
      </c>
      <c r="J32" s="670"/>
      <c r="K32" s="565">
        <v>3</v>
      </c>
      <c r="L32" s="670"/>
      <c r="M32" s="565">
        <v>3</v>
      </c>
      <c r="N32" s="670"/>
      <c r="O32" s="565">
        <v>3</v>
      </c>
      <c r="P32" s="670"/>
      <c r="Q32" s="565">
        <v>3</v>
      </c>
      <c r="R32" s="670"/>
      <c r="S32" s="297" t="s">
        <v>896</v>
      </c>
      <c r="T32" s="728"/>
      <c r="AF32" s="513">
        <v>0</v>
      </c>
    </row>
    <row customHeight="1" ht="11.25">
      <c r="A33" s="2413"/>
      <c r="E33" s="672"/>
      <c r="F33" s="189"/>
      <c r="G33" s="189"/>
      <c r="H33" s="189"/>
      <c r="I33" s="189"/>
      <c r="J33" s="189"/>
      <c r="K33" s="1072"/>
      <c r="L33" s="1072"/>
      <c r="M33" s="1072"/>
      <c r="N33" s="1072"/>
      <c r="O33" s="1072"/>
      <c r="P33" s="1072"/>
      <c r="Q33" s="1072"/>
      <c r="R33" s="1072"/>
      <c r="S33" s="189"/>
      <c r="AF33" s="513">
        <v>0</v>
      </c>
    </row>
    <row customHeight="1" ht="12.75">
      <c r="A34" s="2413"/>
      <c r="D34" s="73">
        <v>1</v>
      </c>
      <c r="E34" s="343" t="s">
        <v>897</v>
      </c>
      <c r="K34" s="1643"/>
      <c r="L34" s="1643"/>
      <c r="M34" s="1643"/>
      <c r="N34" s="1643"/>
      <c r="O34" s="1643"/>
      <c r="P34" s="1643"/>
      <c r="Q34" s="1643"/>
      <c r="R34" s="1643"/>
      <c r="AF34" s="513">
        <v>0</v>
      </c>
    </row>
    <row customHeight="1" ht="11.25">
      <c r="A35" s="2413"/>
      <c r="D35" s="377"/>
      <c r="E35" s="343" t="s">
        <v>898</v>
      </c>
      <c r="K35" s="1643"/>
      <c r="L35" s="1643"/>
      <c r="M35" s="1643"/>
      <c r="N35" s="1643"/>
      <c r="O35" s="1643"/>
      <c r="P35" s="1643"/>
      <c r="Q35" s="1643"/>
      <c r="R35" s="1643"/>
      <c r="AF35" s="513">
        <v>0</v>
      </c>
    </row>
    <row s="1643" customFormat="1" customHeight="1" ht="11.549999999999999">
      <c r="A36" s="1041"/>
      <c r="B36" s="526"/>
      <c r="D36" s="1042"/>
      <c r="E36" s="1043"/>
      <c r="K36" s="1643"/>
      <c r="L36" s="1643"/>
      <c r="M36" s="1643"/>
      <c r="N36" s="1643"/>
      <c r="O36" s="1643"/>
      <c r="P36" s="1643"/>
      <c r="Q36" s="1643"/>
      <c r="R36" s="1643"/>
      <c r="AF36" s="517">
        <v>11</v>
      </c>
    </row>
    <row s="1643" customFormat="1" customHeight="1" ht="22.5" hidden="1">
      <c r="A37" s="2413" t="s">
        <v>899</v>
      </c>
      <c r="B37" s="519"/>
      <c r="D37" s="961">
        <v>1</v>
      </c>
      <c r="E37" s="715" t="s">
        <v>900</v>
      </c>
      <c r="F37" s="668" t="s">
        <v>854</v>
      </c>
      <c r="G37" s="565"/>
      <c r="H37" s="527"/>
      <c r="I37" s="565"/>
      <c r="J37" s="527"/>
      <c r="K37" s="565"/>
      <c r="L37" s="527"/>
      <c r="M37" s="565"/>
      <c r="N37" s="527"/>
      <c r="O37" s="565"/>
      <c r="P37" s="527"/>
      <c r="Q37" s="565"/>
      <c r="R37" s="527"/>
      <c r="S37" s="297" t="s">
        <v>901</v>
      </c>
      <c r="AF37" s="766">
        <v>0</v>
      </c>
    </row>
    <row s="1643" customFormat="1" customHeight="1" ht="22.5" hidden="1">
      <c r="A38" s="2413"/>
      <c r="B38" s="519"/>
      <c r="D38" s="677" t="s">
        <v>102</v>
      </c>
      <c r="E38" s="1040" t="s">
        <v>902</v>
      </c>
      <c r="F38" s="1044" t="s">
        <v>563</v>
      </c>
      <c r="G38" s="1044" t="s">
        <v>563</v>
      </c>
      <c r="H38" s="1038"/>
      <c r="I38" s="1044" t="s">
        <v>563</v>
      </c>
      <c r="J38" s="1038"/>
      <c r="K38" s="1044" t="s">
        <v>563</v>
      </c>
      <c r="L38" s="1038"/>
      <c r="M38" s="1044" t="s">
        <v>563</v>
      </c>
      <c r="N38" s="1038"/>
      <c r="O38" s="1044" t="s">
        <v>563</v>
      </c>
      <c r="P38" s="1038"/>
      <c r="Q38" s="1044" t="s">
        <v>563</v>
      </c>
      <c r="R38" s="1038"/>
      <c r="S38" s="1039"/>
      <c r="AF38" s="766">
        <v>0</v>
      </c>
    </row>
    <row s="1643" customFormat="1" customHeight="1" ht="33.75" hidden="1">
      <c r="A39" s="2413"/>
      <c r="B39" s="519"/>
      <c r="D39" s="673" t="s">
        <v>738</v>
      </c>
      <c r="E39" s="731" t="s">
        <v>903</v>
      </c>
      <c r="F39" s="668" t="s">
        <v>904</v>
      </c>
      <c r="G39" s="676"/>
      <c r="H39" s="1031"/>
      <c r="I39" s="676"/>
      <c r="J39" s="1031"/>
      <c r="K39" s="1177"/>
      <c r="L39" s="1031"/>
      <c r="M39" s="1177"/>
      <c r="N39" s="1031"/>
      <c r="O39" s="1177"/>
      <c r="P39" s="1031"/>
      <c r="Q39" s="1177"/>
      <c r="R39" s="1031"/>
      <c r="S39" s="297" t="s">
        <v>905</v>
      </c>
      <c r="AF39" s="766">
        <v>0</v>
      </c>
    </row>
    <row s="1643" customFormat="1" customHeight="1" ht="33.75" hidden="1">
      <c r="A40" s="2413"/>
      <c r="B40" s="519"/>
      <c r="D40" s="673" t="s">
        <v>741</v>
      </c>
      <c r="E40" s="731" t="s">
        <v>906</v>
      </c>
      <c r="F40" s="1035" t="s">
        <v>907</v>
      </c>
      <c r="G40" s="749"/>
      <c r="H40" s="1031"/>
      <c r="I40" s="749"/>
      <c r="J40" s="1031"/>
      <c r="K40" s="749"/>
      <c r="L40" s="1031"/>
      <c r="M40" s="749"/>
      <c r="N40" s="1031"/>
      <c r="O40" s="749"/>
      <c r="P40" s="1031"/>
      <c r="Q40" s="749"/>
      <c r="R40" s="1031"/>
      <c r="S40" s="297" t="s">
        <v>908</v>
      </c>
      <c r="AF40" s="766">
        <v>0</v>
      </c>
    </row>
    <row s="1643" customFormat="1" customHeight="1" ht="22.5" hidden="1">
      <c r="A41" s="2413"/>
      <c r="B41" s="519"/>
      <c r="D41" s="673" t="s">
        <v>90</v>
      </c>
      <c r="E41" s="730" t="s">
        <v>909</v>
      </c>
      <c r="F41" s="668" t="s">
        <v>563</v>
      </c>
      <c r="G41" s="668" t="s">
        <v>563</v>
      </c>
      <c r="H41" s="1032"/>
      <c r="I41" s="668" t="s">
        <v>563</v>
      </c>
      <c r="J41" s="1032"/>
      <c r="K41" s="2125" t="s">
        <v>563</v>
      </c>
      <c r="L41" s="1032"/>
      <c r="M41" s="2125" t="s">
        <v>563</v>
      </c>
      <c r="N41" s="1032"/>
      <c r="O41" s="2125" t="s">
        <v>563</v>
      </c>
      <c r="P41" s="1032"/>
      <c r="Q41" s="2125" t="s">
        <v>563</v>
      </c>
      <c r="R41" s="1032"/>
      <c r="S41" s="310"/>
      <c r="AF41" s="766">
        <v>0</v>
      </c>
    </row>
    <row s="1643" customFormat="1" customHeight="1" ht="45" hidden="1">
      <c r="A42" s="2413"/>
      <c r="B42" s="519"/>
      <c r="D42" s="673" t="s">
        <v>341</v>
      </c>
      <c r="E42" s="731" t="s">
        <v>910</v>
      </c>
      <c r="F42" s="668" t="s">
        <v>575</v>
      </c>
      <c r="G42" s="565"/>
      <c r="H42" s="1032"/>
      <c r="I42" s="565"/>
      <c r="J42" s="1032"/>
      <c r="K42" s="565"/>
      <c r="L42" s="1032"/>
      <c r="M42" s="565"/>
      <c r="N42" s="1032"/>
      <c r="O42" s="565"/>
      <c r="P42" s="1032"/>
      <c r="Q42" s="565"/>
      <c r="R42" s="1032"/>
      <c r="S42" s="310" t="s">
        <v>911</v>
      </c>
      <c r="AF42" s="766">
        <v>0</v>
      </c>
    </row>
    <row s="1643" customFormat="1" customHeight="1" ht="45" hidden="1">
      <c r="A43" s="2413"/>
      <c r="B43" s="519"/>
      <c r="D43" s="673" t="s">
        <v>349</v>
      </c>
      <c r="E43" s="675" t="s">
        <v>912</v>
      </c>
      <c r="F43" s="1036" t="s">
        <v>575</v>
      </c>
      <c r="G43" s="750"/>
      <c r="H43" s="1031"/>
      <c r="I43" s="750"/>
      <c r="J43" s="1031"/>
      <c r="K43" s="750"/>
      <c r="L43" s="1031"/>
      <c r="M43" s="750"/>
      <c r="N43" s="1031"/>
      <c r="O43" s="750"/>
      <c r="P43" s="1031"/>
      <c r="Q43" s="750"/>
      <c r="R43" s="1031"/>
      <c r="S43" s="310" t="s">
        <v>913</v>
      </c>
      <c r="AF43" s="766">
        <v>0</v>
      </c>
    </row>
    <row s="1643" customFormat="1" customHeight="1" ht="22.5" hidden="1">
      <c r="A44" s="2413"/>
      <c r="B44" s="519"/>
      <c r="D44" s="673" t="s">
        <v>91</v>
      </c>
      <c r="E44" s="674" t="s">
        <v>914</v>
      </c>
      <c r="F44" s="668" t="s">
        <v>904</v>
      </c>
      <c r="G44" s="676"/>
      <c r="H44" s="1031"/>
      <c r="I44" s="676"/>
      <c r="J44" s="1031"/>
      <c r="K44" s="1177"/>
      <c r="L44" s="1031"/>
      <c r="M44" s="1177"/>
      <c r="N44" s="1031"/>
      <c r="O44" s="1177"/>
      <c r="P44" s="1031"/>
      <c r="Q44" s="1177"/>
      <c r="R44" s="1031"/>
      <c r="S44" s="297"/>
      <c r="AF44" s="766">
        <v>0</v>
      </c>
    </row>
    <row s="1643" customFormat="1" customHeight="1" ht="11.25" hidden="1">
      <c r="A45" s="2413"/>
      <c r="B45" s="519"/>
      <c r="D45" s="673" t="s">
        <v>786</v>
      </c>
      <c r="E45" s="675" t="s">
        <v>915</v>
      </c>
      <c r="F45" s="668" t="s">
        <v>904</v>
      </c>
      <c r="G45" s="676"/>
      <c r="H45" s="1031"/>
      <c r="I45" s="676"/>
      <c r="J45" s="1031"/>
      <c r="K45" s="1177"/>
      <c r="L45" s="1031"/>
      <c r="M45" s="1177"/>
      <c r="N45" s="1031"/>
      <c r="O45" s="1177"/>
      <c r="P45" s="1031"/>
      <c r="Q45" s="1177"/>
      <c r="R45" s="1031"/>
      <c r="S45" s="297"/>
      <c r="AF45" s="766">
        <v>0</v>
      </c>
    </row>
    <row s="1643" customFormat="1" customHeight="1" ht="11.25" hidden="1">
      <c r="A46" s="2413"/>
      <c r="B46" s="519"/>
      <c r="D46" s="673" t="s">
        <v>830</v>
      </c>
      <c r="E46" s="675" t="s">
        <v>916</v>
      </c>
      <c r="F46" s="668" t="s">
        <v>904</v>
      </c>
      <c r="G46" s="676"/>
      <c r="H46" s="1031"/>
      <c r="I46" s="676"/>
      <c r="J46" s="1031"/>
      <c r="K46" s="1177"/>
      <c r="L46" s="1031"/>
      <c r="M46" s="1177"/>
      <c r="N46" s="1031"/>
      <c r="O46" s="1177"/>
      <c r="P46" s="1031"/>
      <c r="Q46" s="1177"/>
      <c r="R46" s="1031"/>
      <c r="S46" s="297"/>
      <c r="AF46" s="766">
        <v>0</v>
      </c>
    </row>
    <row s="1643" customFormat="1" customHeight="1" ht="11.25" hidden="1">
      <c r="A47" s="2413"/>
      <c r="B47" s="519"/>
      <c r="D47" s="673" t="s">
        <v>833</v>
      </c>
      <c r="E47" s="675" t="s">
        <v>917</v>
      </c>
      <c r="F47" s="668" t="s">
        <v>904</v>
      </c>
      <c r="G47" s="676"/>
      <c r="H47" s="1031"/>
      <c r="I47" s="676"/>
      <c r="J47" s="1031"/>
      <c r="K47" s="1177"/>
      <c r="L47" s="1031"/>
      <c r="M47" s="1177"/>
      <c r="N47" s="1031"/>
      <c r="O47" s="1177"/>
      <c r="P47" s="1031"/>
      <c r="Q47" s="1177"/>
      <c r="R47" s="1031"/>
      <c r="S47" s="297"/>
      <c r="AF47" s="766">
        <v>0</v>
      </c>
    </row>
    <row s="1643" customFormat="1" customHeight="1" ht="11.25" hidden="1">
      <c r="A48" s="2413"/>
      <c r="B48" s="519"/>
      <c r="D48" s="673" t="s">
        <v>918</v>
      </c>
      <c r="E48" s="679" t="s">
        <v>919</v>
      </c>
      <c r="F48" s="668" t="s">
        <v>904</v>
      </c>
      <c r="G48" s="676"/>
      <c r="H48" s="1031"/>
      <c r="I48" s="676"/>
      <c r="J48" s="1031"/>
      <c r="K48" s="1177"/>
      <c r="L48" s="1031"/>
      <c r="M48" s="1177"/>
      <c r="N48" s="1031"/>
      <c r="O48" s="1177"/>
      <c r="P48" s="1031"/>
      <c r="Q48" s="1177"/>
      <c r="R48" s="1031"/>
      <c r="S48" s="297"/>
      <c r="AF48" s="766">
        <v>0</v>
      </c>
    </row>
    <row s="1643" customFormat="1" customHeight="1" ht="11.25" hidden="1">
      <c r="A49" s="2413"/>
      <c r="B49" s="519"/>
      <c r="D49" s="673" t="s">
        <v>920</v>
      </c>
      <c r="E49" s="679" t="s">
        <v>921</v>
      </c>
      <c r="F49" s="668" t="s">
        <v>904</v>
      </c>
      <c r="G49" s="676"/>
      <c r="H49" s="1031"/>
      <c r="I49" s="676"/>
      <c r="J49" s="1031"/>
      <c r="K49" s="1177"/>
      <c r="L49" s="1031"/>
      <c r="M49" s="1177"/>
      <c r="N49" s="1031"/>
      <c r="O49" s="1177"/>
      <c r="P49" s="1031"/>
      <c r="Q49" s="1177"/>
      <c r="R49" s="1031"/>
      <c r="S49" s="297"/>
      <c r="AF49" s="766">
        <v>0</v>
      </c>
    </row>
    <row s="1643" customFormat="1" customHeight="1" ht="11.25" hidden="1">
      <c r="A50" s="2413"/>
      <c r="B50" s="519"/>
      <c r="D50" s="673" t="s">
        <v>922</v>
      </c>
      <c r="E50" s="675" t="s">
        <v>923</v>
      </c>
      <c r="F50" s="668" t="s">
        <v>904</v>
      </c>
      <c r="G50" s="676"/>
      <c r="H50" s="1031"/>
      <c r="I50" s="676"/>
      <c r="J50" s="1031"/>
      <c r="K50" s="1177"/>
      <c r="L50" s="1031"/>
      <c r="M50" s="1177"/>
      <c r="N50" s="1031"/>
      <c r="O50" s="1177"/>
      <c r="P50" s="1031"/>
      <c r="Q50" s="1177"/>
      <c r="R50" s="1031"/>
      <c r="S50" s="297"/>
      <c r="AF50" s="766">
        <v>0</v>
      </c>
    </row>
    <row s="1643" customFormat="1" customHeight="1" ht="11.25" hidden="1">
      <c r="A51" s="2413"/>
      <c r="B51" s="519"/>
      <c r="D51" s="673" t="s">
        <v>924</v>
      </c>
      <c r="E51" s="675" t="s">
        <v>925</v>
      </c>
      <c r="F51" s="668" t="s">
        <v>904</v>
      </c>
      <c r="G51" s="676"/>
      <c r="H51" s="1031"/>
      <c r="I51" s="676"/>
      <c r="J51" s="1031"/>
      <c r="K51" s="1177"/>
      <c r="L51" s="1031"/>
      <c r="M51" s="1177"/>
      <c r="N51" s="1031"/>
      <c r="O51" s="1177"/>
      <c r="P51" s="1031"/>
      <c r="Q51" s="1177"/>
      <c r="R51" s="1031"/>
      <c r="S51" s="297"/>
      <c r="AF51" s="766">
        <v>0</v>
      </c>
    </row>
    <row s="1643" customFormat="1" customHeight="1" ht="45" hidden="1">
      <c r="A52" s="2413"/>
      <c r="B52" s="519"/>
      <c r="D52" s="673" t="s">
        <v>119</v>
      </c>
      <c r="E52" s="674" t="s">
        <v>926</v>
      </c>
      <c r="F52" s="668" t="s">
        <v>904</v>
      </c>
      <c r="G52" s="676"/>
      <c r="H52" s="1031"/>
      <c r="I52" s="676"/>
      <c r="J52" s="1031"/>
      <c r="K52" s="1177"/>
      <c r="L52" s="1031"/>
      <c r="M52" s="1177"/>
      <c r="N52" s="1031"/>
      <c r="O52" s="1177"/>
      <c r="P52" s="1031"/>
      <c r="Q52" s="1177"/>
      <c r="R52" s="1031"/>
      <c r="S52" s="297"/>
      <c r="AF52" s="766">
        <v>0</v>
      </c>
    </row>
    <row s="1643" customFormat="1" customHeight="1" ht="11.25" hidden="1">
      <c r="A53" s="2413"/>
      <c r="B53" s="519"/>
      <c r="D53" s="673" t="s">
        <v>330</v>
      </c>
      <c r="E53" s="675" t="s">
        <v>915</v>
      </c>
      <c r="F53" s="668" t="s">
        <v>904</v>
      </c>
      <c r="G53" s="676"/>
      <c r="H53" s="1031"/>
      <c r="I53" s="676"/>
      <c r="J53" s="1031"/>
      <c r="K53" s="1177"/>
      <c r="L53" s="1031"/>
      <c r="M53" s="1177"/>
      <c r="N53" s="1031"/>
      <c r="O53" s="1177"/>
      <c r="P53" s="1031"/>
      <c r="Q53" s="1177"/>
      <c r="R53" s="1031"/>
      <c r="S53" s="297"/>
      <c r="AF53" s="766">
        <v>0</v>
      </c>
    </row>
    <row s="1643" customFormat="1" customHeight="1" ht="11.25" hidden="1">
      <c r="A54" s="2413"/>
      <c r="B54" s="519"/>
      <c r="D54" s="673" t="s">
        <v>927</v>
      </c>
      <c r="E54" s="675" t="s">
        <v>916</v>
      </c>
      <c r="F54" s="668" t="s">
        <v>904</v>
      </c>
      <c r="G54" s="676"/>
      <c r="H54" s="1031"/>
      <c r="I54" s="676"/>
      <c r="J54" s="1031"/>
      <c r="K54" s="1177"/>
      <c r="L54" s="1031"/>
      <c r="M54" s="1177"/>
      <c r="N54" s="1031"/>
      <c r="O54" s="1177"/>
      <c r="P54" s="1031"/>
      <c r="Q54" s="1177"/>
      <c r="R54" s="1031"/>
      <c r="S54" s="297"/>
      <c r="AF54" s="766">
        <v>0</v>
      </c>
    </row>
    <row s="1643" customFormat="1" customHeight="1" ht="11.25" hidden="1">
      <c r="A55" s="2413"/>
      <c r="B55" s="519"/>
      <c r="D55" s="673" t="s">
        <v>928</v>
      </c>
      <c r="E55" s="675" t="s">
        <v>917</v>
      </c>
      <c r="F55" s="668" t="s">
        <v>904</v>
      </c>
      <c r="G55" s="676"/>
      <c r="H55" s="1031"/>
      <c r="I55" s="676"/>
      <c r="J55" s="1031"/>
      <c r="K55" s="1177"/>
      <c r="L55" s="1031"/>
      <c r="M55" s="1177"/>
      <c r="N55" s="1031"/>
      <c r="O55" s="1177"/>
      <c r="P55" s="1031"/>
      <c r="Q55" s="1177"/>
      <c r="R55" s="1031"/>
      <c r="S55" s="297"/>
      <c r="AF55" s="766">
        <v>0</v>
      </c>
    </row>
    <row s="1643" customFormat="1" customHeight="1" ht="11.25" hidden="1">
      <c r="A56" s="2413"/>
      <c r="B56" s="519"/>
      <c r="D56" s="673" t="s">
        <v>929</v>
      </c>
      <c r="E56" s="679" t="s">
        <v>919</v>
      </c>
      <c r="F56" s="668" t="s">
        <v>904</v>
      </c>
      <c r="G56" s="676"/>
      <c r="H56" s="1031"/>
      <c r="I56" s="676"/>
      <c r="J56" s="1031"/>
      <c r="K56" s="1177"/>
      <c r="L56" s="1031"/>
      <c r="M56" s="1177"/>
      <c r="N56" s="1031"/>
      <c r="O56" s="1177"/>
      <c r="P56" s="1031"/>
      <c r="Q56" s="1177"/>
      <c r="R56" s="1031"/>
      <c r="S56" s="297"/>
      <c r="AF56" s="766">
        <v>0</v>
      </c>
    </row>
    <row s="1643" customFormat="1" customHeight="1" ht="11.25" hidden="1">
      <c r="A57" s="2413"/>
      <c r="B57" s="519"/>
      <c r="D57" s="673" t="s">
        <v>930</v>
      </c>
      <c r="E57" s="679" t="s">
        <v>921</v>
      </c>
      <c r="F57" s="668" t="s">
        <v>904</v>
      </c>
      <c r="G57" s="676"/>
      <c r="H57" s="1031"/>
      <c r="I57" s="676"/>
      <c r="J57" s="1031"/>
      <c r="K57" s="1177"/>
      <c r="L57" s="1031"/>
      <c r="M57" s="1177"/>
      <c r="N57" s="1031"/>
      <c r="O57" s="1177"/>
      <c r="P57" s="1031"/>
      <c r="Q57" s="1177"/>
      <c r="R57" s="1031"/>
      <c r="S57" s="297"/>
      <c r="AF57" s="766">
        <v>0</v>
      </c>
    </row>
    <row s="1643" customFormat="1" customHeight="1" ht="11.25" hidden="1">
      <c r="A58" s="2413"/>
      <c r="B58" s="519"/>
      <c r="D58" s="673" t="s">
        <v>931</v>
      </c>
      <c r="E58" s="675" t="s">
        <v>923</v>
      </c>
      <c r="F58" s="668" t="s">
        <v>904</v>
      </c>
      <c r="G58" s="676"/>
      <c r="H58" s="1031"/>
      <c r="I58" s="676"/>
      <c r="J58" s="1031"/>
      <c r="K58" s="1177"/>
      <c r="L58" s="1031"/>
      <c r="M58" s="1177"/>
      <c r="N58" s="1031"/>
      <c r="O58" s="1177"/>
      <c r="P58" s="1031"/>
      <c r="Q58" s="1177"/>
      <c r="R58" s="1031"/>
      <c r="S58" s="297"/>
      <c r="AF58" s="766">
        <v>0</v>
      </c>
    </row>
    <row s="1643" customFormat="1" customHeight="1" ht="11.25" hidden="1">
      <c r="A59" s="2413"/>
      <c r="B59" s="519"/>
      <c r="D59" s="673" t="s">
        <v>932</v>
      </c>
      <c r="E59" s="675" t="s">
        <v>925</v>
      </c>
      <c r="F59" s="668" t="s">
        <v>904</v>
      </c>
      <c r="G59" s="676"/>
      <c r="H59" s="1031"/>
      <c r="I59" s="676"/>
      <c r="J59" s="1031"/>
      <c r="K59" s="1177"/>
      <c r="L59" s="1031"/>
      <c r="M59" s="1177"/>
      <c r="N59" s="1031"/>
      <c r="O59" s="1177"/>
      <c r="P59" s="1031"/>
      <c r="Q59" s="1177"/>
      <c r="R59" s="1031"/>
      <c r="S59" s="297"/>
      <c r="AF59" s="766">
        <v>0</v>
      </c>
    </row>
    <row s="1643" customFormat="1" customHeight="1" ht="33.75" hidden="1">
      <c r="A60" s="2413"/>
      <c r="B60" s="519"/>
      <c r="D60" s="673" t="s">
        <v>92</v>
      </c>
      <c r="E60" s="674" t="s">
        <v>933</v>
      </c>
      <c r="F60" s="729" t="s">
        <v>575</v>
      </c>
      <c r="G60" s="750"/>
      <c r="H60" s="1031"/>
      <c r="I60" s="750"/>
      <c r="J60" s="1031"/>
      <c r="K60" s="750"/>
      <c r="L60" s="1031"/>
      <c r="M60" s="750"/>
      <c r="N60" s="1031"/>
      <c r="O60" s="750"/>
      <c r="P60" s="1031"/>
      <c r="Q60" s="750"/>
      <c r="R60" s="1031"/>
      <c r="S60" s="310" t="s">
        <v>934</v>
      </c>
      <c r="AF60" s="766">
        <v>0</v>
      </c>
    </row>
    <row s="1643" customFormat="1" customHeight="1" ht="33.75" hidden="1">
      <c r="A61" s="2413"/>
      <c r="B61" s="519"/>
      <c r="D61" s="673" t="s">
        <v>93</v>
      </c>
      <c r="E61" s="674" t="s">
        <v>935</v>
      </c>
      <c r="F61" s="734" t="s">
        <v>864</v>
      </c>
      <c r="G61" s="676"/>
      <c r="H61" s="1031"/>
      <c r="I61" s="676"/>
      <c r="J61" s="1031"/>
      <c r="K61" s="1177"/>
      <c r="L61" s="1031"/>
      <c r="M61" s="1177"/>
      <c r="N61" s="1031"/>
      <c r="O61" s="1177"/>
      <c r="P61" s="1031"/>
      <c r="Q61" s="1177"/>
      <c r="R61" s="1031"/>
      <c r="S61" s="297"/>
      <c r="AF61" s="766">
        <v>0</v>
      </c>
    </row>
    <row s="1643" customFormat="1" customHeight="1" ht="22.5" hidden="1">
      <c r="A62" s="2413"/>
      <c r="B62" s="519" t="s">
        <v>597</v>
      </c>
      <c r="D62" s="673" t="s">
        <v>120</v>
      </c>
      <c r="E62" s="674" t="s">
        <v>936</v>
      </c>
      <c r="F62" s="734" t="s">
        <v>323</v>
      </c>
      <c r="G62" s="390"/>
      <c r="H62" s="1031"/>
      <c r="I62" s="390"/>
      <c r="J62" s="1031"/>
      <c r="K62" s="1172"/>
      <c r="L62" s="1031"/>
      <c r="M62" s="1172"/>
      <c r="N62" s="1031"/>
      <c r="O62" s="1172"/>
      <c r="P62" s="1031"/>
      <c r="Q62" s="1172"/>
      <c r="R62" s="1031"/>
      <c r="S62" s="297" t="s">
        <v>653</v>
      </c>
      <c r="AF62" s="766">
        <v>0</v>
      </c>
    </row>
    <row s="1643" customFormat="1" customHeight="1" ht="45" hidden="1">
      <c r="A63" s="2413"/>
      <c r="B63" s="519" t="s">
        <v>597</v>
      </c>
      <c r="D63" s="673" t="s">
        <v>937</v>
      </c>
      <c r="E63" s="675" t="s">
        <v>938</v>
      </c>
      <c r="F63" s="729" t="s">
        <v>323</v>
      </c>
      <c r="G63" s="390"/>
      <c r="H63" s="1031"/>
      <c r="I63" s="390"/>
      <c r="J63" s="1031"/>
      <c r="K63" s="1172"/>
      <c r="L63" s="1031"/>
      <c r="M63" s="1172"/>
      <c r="N63" s="1031"/>
      <c r="O63" s="1172"/>
      <c r="P63" s="1031"/>
      <c r="Q63" s="1172"/>
      <c r="R63" s="1031"/>
      <c r="S63" s="297" t="s">
        <v>653</v>
      </c>
      <c r="AF63" s="766">
        <v>0</v>
      </c>
    </row>
    <row s="1643" customFormat="1" customHeight="1" ht="11.549999999999999">
      <c r="A64" s="1041"/>
      <c r="B64" s="526"/>
      <c r="D64" s="1042"/>
      <c r="E64" s="1043"/>
      <c r="K64" s="1643"/>
      <c r="L64" s="1643"/>
      <c r="M64" s="1643"/>
      <c r="N64" s="1643"/>
      <c r="O64" s="1643"/>
      <c r="P64" s="1643"/>
      <c r="Q64" s="1643"/>
      <c r="R64" s="1643"/>
      <c r="AF64" s="517">
        <v>11</v>
      </c>
    </row>
    <row s="1643" customFormat="1" customHeight="1" ht="22.5" hidden="1">
      <c r="A65" s="2413" t="s">
        <v>939</v>
      </c>
      <c r="B65" s="519"/>
      <c r="D65" s="673">
        <v>1</v>
      </c>
      <c r="E65" s="752" t="s">
        <v>940</v>
      </c>
      <c r="F65" s="748" t="s">
        <v>854</v>
      </c>
      <c r="G65" s="749"/>
      <c r="H65" s="1037"/>
      <c r="I65" s="749"/>
      <c r="J65" s="1037"/>
      <c r="K65" s="749"/>
      <c r="L65" s="1037"/>
      <c r="M65" s="749"/>
      <c r="N65" s="1037"/>
      <c r="O65" s="749"/>
      <c r="P65" s="1037"/>
      <c r="Q65" s="749"/>
      <c r="R65" s="1037"/>
      <c r="S65" s="309" t="s">
        <v>941</v>
      </c>
      <c r="AF65" s="766">
        <v>0</v>
      </c>
    </row>
    <row s="1643" customFormat="1" customHeight="1" ht="56.25" hidden="1">
      <c r="A66" s="2413"/>
      <c r="B66" s="519"/>
      <c r="D66" s="751" t="s">
        <v>102</v>
      </c>
      <c r="E66" s="715" t="s">
        <v>942</v>
      </c>
      <c r="F66" s="668" t="s">
        <v>563</v>
      </c>
      <c r="G66" s="668" t="s">
        <v>563</v>
      </c>
      <c r="H66" s="527"/>
      <c r="I66" s="668" t="s">
        <v>563</v>
      </c>
      <c r="J66" s="527"/>
      <c r="K66" s="2125" t="s">
        <v>563</v>
      </c>
      <c r="L66" s="527"/>
      <c r="M66" s="2125" t="s">
        <v>563</v>
      </c>
      <c r="N66" s="527"/>
      <c r="O66" s="2125" t="s">
        <v>563</v>
      </c>
      <c r="P66" s="527"/>
      <c r="Q66" s="2125" t="s">
        <v>563</v>
      </c>
      <c r="R66" s="527"/>
      <c r="S66" s="297"/>
      <c r="AF66" s="766">
        <v>0</v>
      </c>
    </row>
    <row s="1643" customFormat="1" customHeight="1" ht="33.75" hidden="1">
      <c r="A67" s="2413"/>
      <c r="B67" s="519"/>
      <c r="D67" s="751" t="s">
        <v>735</v>
      </c>
      <c r="E67" s="962" t="s">
        <v>943</v>
      </c>
      <c r="F67" s="668" t="s">
        <v>907</v>
      </c>
      <c r="G67" s="735"/>
      <c r="H67" s="527"/>
      <c r="I67" s="735"/>
      <c r="J67" s="527"/>
      <c r="K67" s="735"/>
      <c r="L67" s="527"/>
      <c r="M67" s="735"/>
      <c r="N67" s="527"/>
      <c r="O67" s="735"/>
      <c r="P67" s="527"/>
      <c r="Q67" s="735"/>
      <c r="R67" s="527"/>
      <c r="S67" s="297"/>
      <c r="AF67" s="766">
        <v>0</v>
      </c>
    </row>
    <row s="1643" customFormat="1" customHeight="1" ht="22.5" hidden="1">
      <c r="A68" s="2413"/>
      <c r="B68" s="519"/>
      <c r="D68" s="751" t="s">
        <v>324</v>
      </c>
      <c r="E68" s="962" t="s">
        <v>944</v>
      </c>
      <c r="F68" s="668" t="s">
        <v>907</v>
      </c>
      <c r="G68" s="735"/>
      <c r="H68" s="527"/>
      <c r="I68" s="735"/>
      <c r="J68" s="527"/>
      <c r="K68" s="735"/>
      <c r="L68" s="527"/>
      <c r="M68" s="735"/>
      <c r="N68" s="527"/>
      <c r="O68" s="735"/>
      <c r="P68" s="527"/>
      <c r="Q68" s="735"/>
      <c r="R68" s="527"/>
      <c r="S68" s="297"/>
      <c r="AF68" s="766">
        <v>0</v>
      </c>
    </row>
    <row s="1643" customFormat="1" customHeight="1" ht="22.5" hidden="1">
      <c r="A69" s="2413"/>
      <c r="B69" s="519"/>
      <c r="D69" s="751" t="s">
        <v>327</v>
      </c>
      <c r="E69" s="962" t="s">
        <v>945</v>
      </c>
      <c r="F69" s="729" t="s">
        <v>575</v>
      </c>
      <c r="G69" s="750"/>
      <c r="H69" s="527"/>
      <c r="I69" s="750"/>
      <c r="J69" s="527"/>
      <c r="K69" s="750"/>
      <c r="L69" s="527"/>
      <c r="M69" s="750"/>
      <c r="N69" s="527"/>
      <c r="O69" s="750"/>
      <c r="P69" s="527"/>
      <c r="Q69" s="750"/>
      <c r="R69" s="527"/>
      <c r="S69" s="297"/>
      <c r="AF69" s="766">
        <v>0</v>
      </c>
    </row>
    <row s="1643" customFormat="1" customHeight="1" ht="22.5" hidden="1">
      <c r="A70" s="2413"/>
      <c r="B70" s="519"/>
      <c r="D70" s="751" t="s">
        <v>755</v>
      </c>
      <c r="E70" s="962" t="s">
        <v>946</v>
      </c>
      <c r="F70" s="729" t="s">
        <v>575</v>
      </c>
      <c r="G70" s="750"/>
      <c r="H70" s="527"/>
      <c r="I70" s="750"/>
      <c r="J70" s="527"/>
      <c r="K70" s="750"/>
      <c r="L70" s="527"/>
      <c r="M70" s="750"/>
      <c r="N70" s="527"/>
      <c r="O70" s="750"/>
      <c r="P70" s="527"/>
      <c r="Q70" s="750"/>
      <c r="R70" s="527"/>
      <c r="S70" s="297"/>
      <c r="AF70" s="766">
        <v>0</v>
      </c>
    </row>
    <row s="1643" customFormat="1" customHeight="1" ht="22.5" hidden="1">
      <c r="A71" s="2413"/>
      <c r="B71" s="519"/>
      <c r="D71" s="673" t="s">
        <v>90</v>
      </c>
      <c r="E71" s="674" t="s">
        <v>947</v>
      </c>
      <c r="F71" s="668" t="s">
        <v>907</v>
      </c>
      <c r="G71" s="565"/>
      <c r="H71" s="1038"/>
      <c r="I71" s="565"/>
      <c r="J71" s="1038"/>
      <c r="K71" s="565"/>
      <c r="L71" s="1038"/>
      <c r="M71" s="565"/>
      <c r="N71" s="1038"/>
      <c r="O71" s="565"/>
      <c r="P71" s="1038"/>
      <c r="Q71" s="565"/>
      <c r="R71" s="1038"/>
      <c r="S71" s="310"/>
      <c r="AF71" s="766">
        <v>0</v>
      </c>
    </row>
    <row s="1643" customFormat="1" customHeight="1" ht="56.25" hidden="1">
      <c r="A72" s="2413"/>
      <c r="B72" s="519"/>
      <c r="D72" s="673" t="s">
        <v>91</v>
      </c>
      <c r="E72" s="674" t="s">
        <v>948</v>
      </c>
      <c r="F72" s="729" t="s">
        <v>575</v>
      </c>
      <c r="G72" s="750"/>
      <c r="H72" s="1031"/>
      <c r="I72" s="750"/>
      <c r="J72" s="1031"/>
      <c r="K72" s="750"/>
      <c r="L72" s="1031"/>
      <c r="M72" s="750"/>
      <c r="N72" s="1031"/>
      <c r="O72" s="750"/>
      <c r="P72" s="1031"/>
      <c r="Q72" s="750"/>
      <c r="R72" s="1031"/>
      <c r="S72" s="310"/>
      <c r="AF72" s="766">
        <v>0</v>
      </c>
    </row>
    <row s="1643" customFormat="1" customHeight="1" ht="33.75" hidden="1">
      <c r="A73" s="2413"/>
      <c r="B73" s="519"/>
      <c r="D73" s="673" t="s">
        <v>119</v>
      </c>
      <c r="E73" s="674" t="s">
        <v>949</v>
      </c>
      <c r="F73" s="734" t="s">
        <v>864</v>
      </c>
      <c r="G73" s="676"/>
      <c r="H73" s="1031"/>
      <c r="I73" s="676"/>
      <c r="J73" s="1031"/>
      <c r="K73" s="1177"/>
      <c r="L73" s="1031"/>
      <c r="M73" s="1177"/>
      <c r="N73" s="1031"/>
      <c r="O73" s="1177"/>
      <c r="P73" s="1031"/>
      <c r="Q73" s="1177"/>
      <c r="R73" s="1031"/>
      <c r="S73" s="297"/>
      <c r="AF73" s="766">
        <v>0</v>
      </c>
    </row>
    <row s="1643" customFormat="1" customHeight="1" ht="22.5" hidden="1">
      <c r="A74" s="2413"/>
      <c r="B74" s="519" t="s">
        <v>597</v>
      </c>
      <c r="D74" s="673" t="s">
        <v>92</v>
      </c>
      <c r="E74" s="674" t="s">
        <v>950</v>
      </c>
      <c r="F74" s="734" t="s">
        <v>323</v>
      </c>
      <c r="G74" s="390"/>
      <c r="H74" s="1031"/>
      <c r="I74" s="390"/>
      <c r="J74" s="1031"/>
      <c r="K74" s="1172"/>
      <c r="L74" s="1031"/>
      <c r="M74" s="1172"/>
      <c r="N74" s="1031"/>
      <c r="O74" s="1172"/>
      <c r="P74" s="1031"/>
      <c r="Q74" s="1172"/>
      <c r="R74" s="1031"/>
      <c r="S74" s="297" t="s">
        <v>653</v>
      </c>
      <c r="AF74" s="766">
        <v>0</v>
      </c>
    </row>
    <row s="1643" customFormat="1" customHeight="1" ht="45" hidden="1">
      <c r="A75" s="2413"/>
      <c r="B75" s="519" t="s">
        <v>597</v>
      </c>
      <c r="D75" s="673" t="s">
        <v>674</v>
      </c>
      <c r="E75" s="675" t="s">
        <v>951</v>
      </c>
      <c r="F75" s="729" t="s">
        <v>323</v>
      </c>
      <c r="G75" s="390"/>
      <c r="H75" s="1031"/>
      <c r="I75" s="390"/>
      <c r="J75" s="1031"/>
      <c r="K75" s="1172"/>
      <c r="L75" s="1031"/>
      <c r="M75" s="1172"/>
      <c r="N75" s="1031"/>
      <c r="O75" s="1172"/>
      <c r="P75" s="1031"/>
      <c r="Q75" s="1172"/>
      <c r="R75" s="1031"/>
      <c r="S75" s="297" t="s">
        <v>653</v>
      </c>
      <c r="AF75" s="766">
        <v>0</v>
      </c>
    </row>
    <row s="1643" customFormat="1" customHeight="1" ht="11.549999999999999">
      <c r="A76" s="1041"/>
      <c r="B76" s="526"/>
      <c r="D76" s="1042"/>
      <c r="E76" s="1043"/>
      <c r="K76" s="1643"/>
      <c r="L76" s="1643"/>
      <c r="M76" s="1643"/>
      <c r="N76" s="1643"/>
      <c r="O76" s="1643"/>
      <c r="P76" s="1643"/>
      <c r="Q76" s="1643"/>
      <c r="R76" s="1643"/>
      <c r="AF76" s="517">
        <v>11</v>
      </c>
    </row>
    <row s="1643" customFormat="1" customHeight="1" ht="11.25" hidden="1">
      <c r="A77" s="2413" t="s">
        <v>952</v>
      </c>
      <c r="B77" s="519"/>
      <c r="D77" s="673">
        <v>1</v>
      </c>
      <c r="E77" s="674" t="s">
        <v>953</v>
      </c>
      <c r="F77" s="729" t="s">
        <v>854</v>
      </c>
      <c r="G77" s="732"/>
      <c r="H77" s="1031"/>
      <c r="I77" s="732"/>
      <c r="J77" s="1031"/>
      <c r="K77" s="732"/>
      <c r="L77" s="1031"/>
      <c r="M77" s="732"/>
      <c r="N77" s="1031"/>
      <c r="O77" s="732"/>
      <c r="P77" s="1031"/>
      <c r="Q77" s="732"/>
      <c r="R77" s="1031"/>
      <c r="S77" s="297" t="s">
        <v>954</v>
      </c>
      <c r="AF77" s="766">
        <v>0</v>
      </c>
    </row>
    <row s="1643" customFormat="1" customHeight="1" ht="11.25" hidden="1">
      <c r="A78" s="2413"/>
      <c r="B78" s="519"/>
      <c r="D78" s="673" t="s">
        <v>102</v>
      </c>
      <c r="E78" s="674" t="s">
        <v>955</v>
      </c>
      <c r="F78" s="729" t="s">
        <v>854</v>
      </c>
      <c r="G78" s="732"/>
      <c r="H78" s="1031"/>
      <c r="I78" s="732"/>
      <c r="J78" s="1031"/>
      <c r="K78" s="732"/>
      <c r="L78" s="1031"/>
      <c r="M78" s="732"/>
      <c r="N78" s="1031"/>
      <c r="O78" s="732"/>
      <c r="P78" s="1031"/>
      <c r="Q78" s="732"/>
      <c r="R78" s="1031"/>
      <c r="S78" s="297" t="s">
        <v>956</v>
      </c>
      <c r="AF78" s="766">
        <v>0</v>
      </c>
    </row>
    <row s="1643" customFormat="1" customHeight="1" ht="22.5" hidden="1">
      <c r="A79" s="2413"/>
      <c r="B79" s="519"/>
      <c r="D79" s="673" t="s">
        <v>90</v>
      </c>
      <c r="E79" s="730" t="s">
        <v>957</v>
      </c>
      <c r="F79" s="668" t="s">
        <v>904</v>
      </c>
      <c r="G79" s="732"/>
      <c r="H79" s="1031"/>
      <c r="I79" s="732"/>
      <c r="J79" s="1031"/>
      <c r="K79" s="732"/>
      <c r="L79" s="1031"/>
      <c r="M79" s="732"/>
      <c r="N79" s="1031"/>
      <c r="O79" s="732"/>
      <c r="P79" s="1031"/>
      <c r="Q79" s="732"/>
      <c r="R79" s="1031"/>
      <c r="S79" s="297" t="s">
        <v>958</v>
      </c>
      <c r="AF79" s="766">
        <v>0</v>
      </c>
    </row>
    <row s="1643" customFormat="1" customHeight="1" ht="11.25" hidden="1">
      <c r="A80" s="2413"/>
      <c r="B80" s="519"/>
      <c r="D80" s="673" t="s">
        <v>341</v>
      </c>
      <c r="E80" s="731" t="s">
        <v>959</v>
      </c>
      <c r="F80" s="668" t="s">
        <v>904</v>
      </c>
      <c r="G80" s="732"/>
      <c r="H80" s="1031"/>
      <c r="I80" s="732"/>
      <c r="J80" s="1031"/>
      <c r="K80" s="732"/>
      <c r="L80" s="1031"/>
      <c r="M80" s="732"/>
      <c r="N80" s="1031"/>
      <c r="O80" s="732"/>
      <c r="P80" s="1031"/>
      <c r="Q80" s="732"/>
      <c r="R80" s="1031"/>
      <c r="S80" s="297"/>
      <c r="AF80" s="766">
        <v>0</v>
      </c>
    </row>
    <row s="1643" customFormat="1" customHeight="1" ht="11.25" hidden="1">
      <c r="A81" s="2413"/>
      <c r="B81" s="519"/>
      <c r="D81" s="673" t="s">
        <v>349</v>
      </c>
      <c r="E81" s="731" t="s">
        <v>960</v>
      </c>
      <c r="F81" s="668" t="s">
        <v>904</v>
      </c>
      <c r="G81" s="732"/>
      <c r="H81" s="1031"/>
      <c r="I81" s="732"/>
      <c r="J81" s="1031"/>
      <c r="K81" s="732"/>
      <c r="L81" s="1031"/>
      <c r="M81" s="732"/>
      <c r="N81" s="1031"/>
      <c r="O81" s="732"/>
      <c r="P81" s="1031"/>
      <c r="Q81" s="732"/>
      <c r="R81" s="1031"/>
      <c r="S81" s="297"/>
      <c r="AF81" s="766">
        <v>0</v>
      </c>
    </row>
    <row s="1643" customFormat="1" customHeight="1" ht="11.25" hidden="1">
      <c r="A82" s="2413"/>
      <c r="B82" s="519"/>
      <c r="D82" s="673" t="s">
        <v>351</v>
      </c>
      <c r="E82" s="731" t="s">
        <v>961</v>
      </c>
      <c r="F82" s="668" t="s">
        <v>904</v>
      </c>
      <c r="G82" s="732"/>
      <c r="H82" s="1031"/>
      <c r="I82" s="732"/>
      <c r="J82" s="1031"/>
      <c r="K82" s="732"/>
      <c r="L82" s="1031"/>
      <c r="M82" s="732"/>
      <c r="N82" s="1031"/>
      <c r="O82" s="732"/>
      <c r="P82" s="1031"/>
      <c r="Q82" s="732"/>
      <c r="R82" s="1031"/>
      <c r="S82" s="297"/>
      <c r="AF82" s="766">
        <v>0</v>
      </c>
    </row>
    <row s="1643" customFormat="1" customHeight="1" ht="11.25" hidden="1">
      <c r="A83" s="2413"/>
      <c r="B83" s="519"/>
      <c r="D83" s="673" t="s">
        <v>353</v>
      </c>
      <c r="E83" s="731" t="s">
        <v>962</v>
      </c>
      <c r="F83" s="668" t="s">
        <v>904</v>
      </c>
      <c r="G83" s="732"/>
      <c r="H83" s="1031"/>
      <c r="I83" s="732"/>
      <c r="J83" s="1031"/>
      <c r="K83" s="732"/>
      <c r="L83" s="1031"/>
      <c r="M83" s="732"/>
      <c r="N83" s="1031"/>
      <c r="O83" s="732"/>
      <c r="P83" s="1031"/>
      <c r="Q83" s="732"/>
      <c r="R83" s="1031"/>
      <c r="S83" s="297"/>
      <c r="AF83" s="766">
        <v>0</v>
      </c>
    </row>
    <row s="1643" customFormat="1" customHeight="1" ht="11.25" hidden="1">
      <c r="A84" s="2413"/>
      <c r="B84" s="519"/>
      <c r="D84" s="673" t="s">
        <v>963</v>
      </c>
      <c r="E84" s="731" t="s">
        <v>964</v>
      </c>
      <c r="F84" s="668" t="s">
        <v>904</v>
      </c>
      <c r="G84" s="732"/>
      <c r="H84" s="1031"/>
      <c r="I84" s="732"/>
      <c r="J84" s="1031"/>
      <c r="K84" s="732"/>
      <c r="L84" s="1031"/>
      <c r="M84" s="732"/>
      <c r="N84" s="1031"/>
      <c r="O84" s="732"/>
      <c r="P84" s="1031"/>
      <c r="Q84" s="732"/>
      <c r="R84" s="1031"/>
      <c r="S84" s="297"/>
      <c r="AF84" s="766">
        <v>0</v>
      </c>
    </row>
    <row s="1643" customFormat="1" customHeight="1" ht="11.25" hidden="1">
      <c r="A85" s="2413"/>
      <c r="B85" s="519"/>
      <c r="D85" s="673" t="s">
        <v>965</v>
      </c>
      <c r="E85" s="731" t="s">
        <v>966</v>
      </c>
      <c r="F85" s="668" t="s">
        <v>904</v>
      </c>
      <c r="G85" s="732"/>
      <c r="H85" s="1031"/>
      <c r="I85" s="732"/>
      <c r="J85" s="1031"/>
      <c r="K85" s="732"/>
      <c r="L85" s="1031"/>
      <c r="M85" s="732"/>
      <c r="N85" s="1031"/>
      <c r="O85" s="732"/>
      <c r="P85" s="1031"/>
      <c r="Q85" s="732"/>
      <c r="R85" s="1031"/>
      <c r="S85" s="297"/>
      <c r="AF85" s="766">
        <v>0</v>
      </c>
    </row>
    <row s="1643" customFormat="1" customHeight="1" ht="11.25" hidden="1">
      <c r="A86" s="2413"/>
      <c r="B86" s="519"/>
      <c r="D86" s="673" t="s">
        <v>967</v>
      </c>
      <c r="E86" s="731" t="s">
        <v>968</v>
      </c>
      <c r="F86" s="668" t="s">
        <v>904</v>
      </c>
      <c r="G86" s="732"/>
      <c r="H86" s="1031"/>
      <c r="I86" s="732"/>
      <c r="J86" s="1031"/>
      <c r="K86" s="732"/>
      <c r="L86" s="1031"/>
      <c r="M86" s="732"/>
      <c r="N86" s="1031"/>
      <c r="O86" s="732"/>
      <c r="P86" s="1031"/>
      <c r="Q86" s="732"/>
      <c r="R86" s="1031"/>
      <c r="S86" s="297"/>
      <c r="AF86" s="766">
        <v>0</v>
      </c>
    </row>
    <row s="1643" customFormat="1" customHeight="1" ht="45" hidden="1">
      <c r="A87" s="2413"/>
      <c r="B87" s="519"/>
      <c r="D87" s="673" t="s">
        <v>91</v>
      </c>
      <c r="E87" s="674" t="s">
        <v>969</v>
      </c>
      <c r="F87" s="668" t="s">
        <v>904</v>
      </c>
      <c r="G87" s="732"/>
      <c r="H87" s="1031"/>
      <c r="I87" s="732"/>
      <c r="J87" s="1031"/>
      <c r="K87" s="732"/>
      <c r="L87" s="1031"/>
      <c r="M87" s="732"/>
      <c r="N87" s="1031"/>
      <c r="O87" s="732"/>
      <c r="P87" s="1031"/>
      <c r="Q87" s="732"/>
      <c r="R87" s="1031"/>
      <c r="S87" s="297" t="s">
        <v>970</v>
      </c>
      <c r="AF87" s="766">
        <v>0</v>
      </c>
    </row>
    <row s="1643" customFormat="1" customHeight="1" ht="11.25" hidden="1">
      <c r="A88" s="2413"/>
      <c r="B88" s="519"/>
      <c r="D88" s="673" t="s">
        <v>786</v>
      </c>
      <c r="E88" s="731" t="s">
        <v>959</v>
      </c>
      <c r="F88" s="668" t="s">
        <v>904</v>
      </c>
      <c r="G88" s="732"/>
      <c r="H88" s="1031"/>
      <c r="I88" s="732"/>
      <c r="J88" s="1031"/>
      <c r="K88" s="732"/>
      <c r="L88" s="1031"/>
      <c r="M88" s="732"/>
      <c r="N88" s="1031"/>
      <c r="O88" s="732"/>
      <c r="P88" s="1031"/>
      <c r="Q88" s="732"/>
      <c r="R88" s="1031"/>
      <c r="S88" s="297"/>
      <c r="AF88" s="766">
        <v>0</v>
      </c>
    </row>
    <row s="1643" customFormat="1" customHeight="1" ht="11.25" hidden="1">
      <c r="A89" s="2413"/>
      <c r="B89" s="519"/>
      <c r="D89" s="673" t="s">
        <v>830</v>
      </c>
      <c r="E89" s="731" t="s">
        <v>960</v>
      </c>
      <c r="F89" s="668" t="s">
        <v>904</v>
      </c>
      <c r="G89" s="732"/>
      <c r="H89" s="1031"/>
      <c r="I89" s="732"/>
      <c r="J89" s="1031"/>
      <c r="K89" s="732"/>
      <c r="L89" s="1031"/>
      <c r="M89" s="732"/>
      <c r="N89" s="1031"/>
      <c r="O89" s="732"/>
      <c r="P89" s="1031"/>
      <c r="Q89" s="732"/>
      <c r="R89" s="1031"/>
      <c r="S89" s="297"/>
      <c r="AF89" s="766">
        <v>0</v>
      </c>
    </row>
    <row s="1643" customFormat="1" customHeight="1" ht="11.25" hidden="1">
      <c r="A90" s="2413"/>
      <c r="B90" s="519"/>
      <c r="D90" s="673" t="s">
        <v>833</v>
      </c>
      <c r="E90" s="731" t="s">
        <v>961</v>
      </c>
      <c r="F90" s="668" t="s">
        <v>904</v>
      </c>
      <c r="G90" s="732"/>
      <c r="H90" s="1031"/>
      <c r="I90" s="732"/>
      <c r="J90" s="1031"/>
      <c r="K90" s="732"/>
      <c r="L90" s="1031"/>
      <c r="M90" s="732"/>
      <c r="N90" s="1031"/>
      <c r="O90" s="732"/>
      <c r="P90" s="1031"/>
      <c r="Q90" s="732"/>
      <c r="R90" s="1031"/>
      <c r="S90" s="297"/>
      <c r="AF90" s="766">
        <v>0</v>
      </c>
    </row>
    <row s="1643" customFormat="1" customHeight="1" ht="11.25" hidden="1">
      <c r="A91" s="2413"/>
      <c r="B91" s="519"/>
      <c r="D91" s="673" t="s">
        <v>922</v>
      </c>
      <c r="E91" s="731" t="s">
        <v>962</v>
      </c>
      <c r="F91" s="668" t="s">
        <v>904</v>
      </c>
      <c r="G91" s="732"/>
      <c r="H91" s="1031"/>
      <c r="I91" s="732"/>
      <c r="J91" s="1031"/>
      <c r="K91" s="732"/>
      <c r="L91" s="1031"/>
      <c r="M91" s="732"/>
      <c r="N91" s="1031"/>
      <c r="O91" s="732"/>
      <c r="P91" s="1031"/>
      <c r="Q91" s="732"/>
      <c r="R91" s="1031"/>
      <c r="S91" s="297"/>
      <c r="AF91" s="766">
        <v>0</v>
      </c>
    </row>
    <row s="1643" customFormat="1" customHeight="1" ht="11.25" hidden="1">
      <c r="A92" s="2413"/>
      <c r="B92" s="519"/>
      <c r="D92" s="673" t="s">
        <v>924</v>
      </c>
      <c r="E92" s="731" t="s">
        <v>964</v>
      </c>
      <c r="F92" s="668" t="s">
        <v>904</v>
      </c>
      <c r="G92" s="732"/>
      <c r="H92" s="1031"/>
      <c r="I92" s="732"/>
      <c r="J92" s="1031"/>
      <c r="K92" s="732"/>
      <c r="L92" s="1031"/>
      <c r="M92" s="732"/>
      <c r="N92" s="1031"/>
      <c r="O92" s="732"/>
      <c r="P92" s="1031"/>
      <c r="Q92" s="732"/>
      <c r="R92" s="1031"/>
      <c r="S92" s="297"/>
      <c r="AF92" s="766">
        <v>0</v>
      </c>
    </row>
    <row s="1643" customFormat="1" customHeight="1" ht="11.25" hidden="1">
      <c r="A93" s="2413"/>
      <c r="B93" s="519"/>
      <c r="D93" s="673" t="s">
        <v>971</v>
      </c>
      <c r="E93" s="731" t="s">
        <v>966</v>
      </c>
      <c r="F93" s="668" t="s">
        <v>904</v>
      </c>
      <c r="G93" s="732"/>
      <c r="H93" s="1031"/>
      <c r="I93" s="732"/>
      <c r="J93" s="1031"/>
      <c r="K93" s="732"/>
      <c r="L93" s="1031"/>
      <c r="M93" s="732"/>
      <c r="N93" s="1031"/>
      <c r="O93" s="732"/>
      <c r="P93" s="1031"/>
      <c r="Q93" s="732"/>
      <c r="R93" s="1031"/>
      <c r="S93" s="297"/>
      <c r="AF93" s="766">
        <v>0</v>
      </c>
    </row>
    <row s="1643" customFormat="1" customHeight="1" ht="11.25" hidden="1">
      <c r="A94" s="2413"/>
      <c r="B94" s="519"/>
      <c r="D94" s="673" t="s">
        <v>972</v>
      </c>
      <c r="E94" s="731" t="s">
        <v>968</v>
      </c>
      <c r="F94" s="668" t="s">
        <v>904</v>
      </c>
      <c r="G94" s="732"/>
      <c r="H94" s="1031"/>
      <c r="I94" s="732"/>
      <c r="J94" s="1031"/>
      <c r="K94" s="732"/>
      <c r="L94" s="1031"/>
      <c r="M94" s="732"/>
      <c r="N94" s="1031"/>
      <c r="O94" s="732"/>
      <c r="P94" s="1031"/>
      <c r="Q94" s="732"/>
      <c r="R94" s="1031"/>
      <c r="S94" s="297"/>
      <c r="AF94" s="766">
        <v>0</v>
      </c>
    </row>
    <row s="1643" customFormat="1" customHeight="1" ht="24.75" hidden="1">
      <c r="A95" s="2413"/>
      <c r="B95" s="519"/>
      <c r="D95" s="673" t="s">
        <v>119</v>
      </c>
      <c r="E95" s="674" t="s">
        <v>973</v>
      </c>
      <c r="F95" s="733" t="s">
        <v>575</v>
      </c>
      <c r="G95" s="735"/>
      <c r="H95" s="1031"/>
      <c r="I95" s="735"/>
      <c r="J95" s="1031"/>
      <c r="K95" s="735"/>
      <c r="L95" s="1031"/>
      <c r="M95" s="735"/>
      <c r="N95" s="1031"/>
      <c r="O95" s="735"/>
      <c r="P95" s="1031"/>
      <c r="Q95" s="735"/>
      <c r="R95" s="1031"/>
      <c r="S95" s="297" t="s">
        <v>974</v>
      </c>
      <c r="AF95" s="766">
        <v>0</v>
      </c>
    </row>
    <row s="1643" customFormat="1" customHeight="1" ht="33.75" hidden="1">
      <c r="A96" s="2413"/>
      <c r="B96" s="519"/>
      <c r="D96" s="673" t="s">
        <v>92</v>
      </c>
      <c r="E96" s="674" t="s">
        <v>975</v>
      </c>
      <c r="F96" s="734" t="s">
        <v>864</v>
      </c>
      <c r="G96" s="736"/>
      <c r="H96" s="1031"/>
      <c r="I96" s="736"/>
      <c r="J96" s="1031"/>
      <c r="K96" s="736"/>
      <c r="L96" s="1031"/>
      <c r="M96" s="736"/>
      <c r="N96" s="1031"/>
      <c r="O96" s="736"/>
      <c r="P96" s="1031"/>
      <c r="Q96" s="736"/>
      <c r="R96" s="1031"/>
      <c r="S96" s="297"/>
      <c r="AF96" s="766">
        <v>0</v>
      </c>
    </row>
    <row s="1643" customFormat="1" customHeight="1" ht="22.5" hidden="1">
      <c r="A97" s="2413"/>
      <c r="B97" s="519" t="s">
        <v>597</v>
      </c>
      <c r="D97" s="673" t="s">
        <v>93</v>
      </c>
      <c r="E97" s="674" t="s">
        <v>976</v>
      </c>
      <c r="F97" s="734" t="s">
        <v>323</v>
      </c>
      <c r="G97" s="393"/>
      <c r="H97" s="1031"/>
      <c r="I97" s="393"/>
      <c r="J97" s="1031"/>
      <c r="K97" s="393"/>
      <c r="L97" s="1031"/>
      <c r="M97" s="393"/>
      <c r="N97" s="1031"/>
      <c r="O97" s="393"/>
      <c r="P97" s="1031"/>
      <c r="Q97" s="393"/>
      <c r="R97" s="1031"/>
      <c r="S97" s="297" t="s">
        <v>653</v>
      </c>
      <c r="AF97" s="766">
        <v>0</v>
      </c>
    </row>
    <row s="1643" customFormat="1" customHeight="1" ht="45" hidden="1">
      <c r="A98" s="2413"/>
      <c r="B98" s="519" t="s">
        <v>597</v>
      </c>
      <c r="D98" s="673" t="s">
        <v>842</v>
      </c>
      <c r="E98" s="675" t="s">
        <v>977</v>
      </c>
      <c r="F98" s="729" t="s">
        <v>323</v>
      </c>
      <c r="G98" s="393"/>
      <c r="H98" s="1031"/>
      <c r="I98" s="393"/>
      <c r="J98" s="1031"/>
      <c r="K98" s="393"/>
      <c r="L98" s="1031"/>
      <c r="M98" s="393"/>
      <c r="N98" s="1031"/>
      <c r="O98" s="393"/>
      <c r="P98" s="1031"/>
      <c r="Q98" s="393"/>
      <c r="R98" s="1031"/>
      <c r="S98" s="297" t="s">
        <v>653</v>
      </c>
      <c r="AF98" s="766">
        <v>0</v>
      </c>
    </row>
    <row s="1643" customFormat="1" customHeight="1" ht="95.25" hidden="1">
      <c r="A99" s="2413"/>
      <c r="B99" s="519" t="s">
        <v>597</v>
      </c>
      <c r="D99" s="673" t="s">
        <v>120</v>
      </c>
      <c r="E99" s="674" t="s">
        <v>978</v>
      </c>
      <c r="F99" s="729" t="s">
        <v>323</v>
      </c>
      <c r="G99" s="393"/>
      <c r="H99" s="1031"/>
      <c r="I99" s="393"/>
      <c r="J99" s="1031"/>
      <c r="K99" s="393"/>
      <c r="L99" s="1031"/>
      <c r="M99" s="393"/>
      <c r="N99" s="1031"/>
      <c r="O99" s="393"/>
      <c r="P99" s="1031"/>
      <c r="Q99" s="393"/>
      <c r="R99" s="1031"/>
      <c r="S99" s="297" t="s">
        <v>653</v>
      </c>
      <c r="AF99" s="766">
        <v>0</v>
      </c>
    </row>
    <row s="1643" customFormat="1" customHeight="1" ht="22.5" hidden="1">
      <c r="A100" s="2413"/>
      <c r="B100" s="519" t="s">
        <v>597</v>
      </c>
      <c r="D100" s="673" t="s">
        <v>167</v>
      </c>
      <c r="E100" s="674" t="s">
        <v>979</v>
      </c>
      <c r="F100" s="729" t="s">
        <v>323</v>
      </c>
      <c r="G100" s="393"/>
      <c r="H100" s="1031"/>
      <c r="I100" s="393"/>
      <c r="J100" s="1031"/>
      <c r="K100" s="393"/>
      <c r="L100" s="1031"/>
      <c r="M100" s="393"/>
      <c r="N100" s="1031"/>
      <c r="O100" s="393"/>
      <c r="P100" s="1031"/>
      <c r="Q100" s="393"/>
      <c r="R100" s="1031"/>
      <c r="S100" s="297" t="s">
        <v>653</v>
      </c>
      <c r="AF100" s="766">
        <v>0</v>
      </c>
    </row>
    <row s="1643" customFormat="1" customHeight="1" ht="11.549999999999999">
      <c r="A101" s="1041"/>
      <c r="B101" s="526"/>
      <c r="D101" s="1042"/>
      <c r="E101" s="1043"/>
      <c r="K101" s="1643"/>
      <c r="L101" s="1643"/>
      <c r="M101" s="1643"/>
      <c r="N101" s="1643"/>
      <c r="O101" s="1643"/>
      <c r="P101" s="1643"/>
      <c r="Q101" s="1643"/>
      <c r="R101" s="1643"/>
      <c r="AF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513">
        <v>73</v>
      </c>
      <c r="T102" s="513">
        <v>3</v>
      </c>
      <c r="U102" s="513">
        <v>10</v>
      </c>
      <c r="V102" s="513">
        <v>10</v>
      </c>
      <c r="W102" s="513">
        <v>10</v>
      </c>
      <c r="X102" s="513">
        <v>10</v>
      </c>
      <c r="Y102" s="513">
        <v>10</v>
      </c>
      <c r="Z102" s="513">
        <v>10</v>
      </c>
      <c r="AA102" s="513">
        <v>10</v>
      </c>
      <c r="AB102" s="513">
        <v>10</v>
      </c>
      <c r="AC102" s="513">
        <v>10</v>
      </c>
      <c r="AD102" s="513">
        <v>10</v>
      </c>
      <c r="AE102" s="513">
        <v>10</v>
      </c>
      <c r="AF102" s="513">
        <v>23</v>
      </c>
    </row>
  </sheetData>
  <sheetProtection sheet="1" formatColumns="0" formatRows="0" autoFilter="0" sort="1" insertRows="1" insertColumns="1" deleteRows="1" deleteColumns="1"/>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41492-737D-5A62-9DC5-1DC5FC28FE65}" mc:Ignorable="x14ac xr xr2 xr3">
  <sheetPr>
    <tabColor rgb="FFCCCCFF"/>
  </sheetPr>
  <dimension ref="A1:AM24"/>
  <sheetViews>
    <sheetView showGridLines="0" zoomScale="90" workbookViewId="0">
      <pane xSplit="4" ySplit="12" topLeftCell="E13" activePane="bottomRight" state="frozen"/>
      <selection pane="bottomLeft" activeCell="A13" sqref="A13"/>
      <selection pane="topRight" activeCell="E1" sqref="E1"/>
      <selection pane="bottomRight" activeCell="E16" sqref="E16:E22"/>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58"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92"/>
      <c r="K4" s="592"/>
      <c r="L4" s="592"/>
      <c r="M4" s="592"/>
      <c r="AM4" s="591">
        <v>34</v>
      </c>
    </row>
    <row s="597" customFormat="1" customHeight="1" ht="14.699999999999998">
      <c r="A5" s="593"/>
      <c r="B5" s="593"/>
      <c r="C5" s="593"/>
      <c r="D5" s="2143" t="str">
        <f>IF(org=0,"Не определено",org)</f>
        <v>АО "ДГК"</v>
      </c>
      <c r="E5" s="2144"/>
      <c r="F5" s="2144"/>
      <c r="G5" s="2144"/>
      <c r="H5" s="2144"/>
      <c r="I5" s="2145"/>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46"/>
      <c r="B6" s="2146"/>
      <c r="C6" s="2146"/>
      <c r="D6" s="2146"/>
      <c r="E6" s="2146"/>
      <c r="F6" s="2146"/>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47"/>
      <c r="B9" s="331"/>
      <c r="C9" s="331"/>
      <c r="D9" s="2148" t="s">
        <v>114</v>
      </c>
      <c r="E9" s="2148"/>
      <c r="F9" s="2149" t="s">
        <v>115</v>
      </c>
      <c r="G9" s="2150"/>
      <c r="H9" s="2150"/>
      <c r="I9" s="2150"/>
      <c r="J9" s="2153" t="s">
        <v>116</v>
      </c>
      <c r="K9" s="2153"/>
      <c r="L9" s="2153"/>
      <c r="M9" s="2153"/>
      <c r="AM9" s="591">
        <v>18</v>
      </c>
    </row>
    <row customHeight="1" ht="24">
      <c r="A10" s="2147"/>
      <c r="B10" s="600"/>
      <c r="C10" s="533"/>
      <c r="D10" s="531" t="s">
        <v>88</v>
      </c>
      <c r="E10" s="531" t="s">
        <v>89</v>
      </c>
      <c r="F10" s="531" t="s">
        <v>117</v>
      </c>
      <c r="G10" s="2154" t="s">
        <v>88</v>
      </c>
      <c r="H10" s="2155"/>
      <c r="I10" s="531" t="s">
        <v>89</v>
      </c>
      <c r="J10" s="531" t="s">
        <v>117</v>
      </c>
      <c r="K10" s="2154" t="s">
        <v>88</v>
      </c>
      <c r="L10" s="2155"/>
      <c r="M10" s="531" t="s">
        <v>89</v>
      </c>
      <c r="N10" s="1635"/>
      <c r="AM10" s="591">
        <v>23</v>
      </c>
    </row>
    <row s="1858" customFormat="1" customHeight="1" ht="11.25" hidden="1">
      <c r="A11" s="601"/>
      <c r="B11" s="601"/>
      <c r="C11" s="601"/>
      <c r="D11" s="602" t="s">
        <v>118</v>
      </c>
      <c r="E11" s="602" t="s">
        <v>102</v>
      </c>
      <c r="F11" s="602" t="s">
        <v>90</v>
      </c>
      <c r="G11" s="2136" t="s">
        <v>91</v>
      </c>
      <c r="H11" s="2137"/>
      <c r="I11" s="602" t="s">
        <v>119</v>
      </c>
      <c r="J11" s="602" t="s">
        <v>92</v>
      </c>
      <c r="K11" s="2138" t="s">
        <v>93</v>
      </c>
      <c r="L11" s="2139"/>
      <c r="M11" s="602" t="s">
        <v>120</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121</v>
      </c>
      <c r="P12" s="1421" t="s">
        <v>122</v>
      </c>
      <c r="Q12" s="1421" t="s">
        <v>123</v>
      </c>
      <c r="R12" s="1421" t="s">
        <v>124</v>
      </c>
      <c r="AM12" s="591">
        <v>1</v>
      </c>
    </row>
    <row s="1858" customFormat="1" customHeight="1" ht="15.75">
      <c r="A13" s="301"/>
      <c r="B13" s="301"/>
      <c r="C13" s="534"/>
      <c r="D13" s="2129" t="s">
        <v>118</v>
      </c>
      <c r="E13" s="2130"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33" t="s">
        <v>61</v>
      </c>
      <c r="G13" s="2134"/>
      <c r="H13" s="2135">
        <v>1</v>
      </c>
      <c r="I13" s="2126" t="str">
        <f>IF(U13="","",INDEX(TERRITORY_MR_LIST,MATCH(U13,TERRITORY_LIST_ID,0)))</f>
        <v>Территория 1</v>
      </c>
      <c r="J13" s="2128" t="s">
        <v>61</v>
      </c>
      <c r="K13" s="610"/>
      <c r="L13" s="535" t="s">
        <v>118</v>
      </c>
      <c r="M13" s="2654" t="s">
        <v>125</v>
      </c>
      <c r="N13" s="820"/>
      <c r="O13" s="1424" t="s">
        <v>126</v>
      </c>
      <c r="P13" s="1421"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21" t="str">
        <f>IF($F$13="нет","без дифференциации",$I$13)</f>
        <v>Территория 1</v>
      </c>
      <c r="R13" s="1421" t="str">
        <f>IF($J$13="нет","без дифференциации",M13)</f>
        <v>Благовещенская ТЭЦ, ТС Благовещенск</v>
      </c>
      <c r="S13" s="1424"/>
      <c r="T13" s="1424"/>
      <c r="U13" s="1274" t="s">
        <v>98</v>
      </c>
      <c r="V13" s="1274" t="s">
        <v>127</v>
      </c>
      <c r="W13" s="1274"/>
      <c r="X13" s="1274"/>
      <c r="Y13" s="612" t="s">
        <v>128</v>
      </c>
      <c r="Z13" s="612">
        <v>1705000</v>
      </c>
      <c r="AA13" s="612"/>
      <c r="AB13" s="612"/>
      <c r="AC13" s="612"/>
      <c r="AD13" s="612"/>
      <c r="AE13" s="612"/>
      <c r="AF13" s="612"/>
      <c r="AG13" s="612"/>
      <c r="AH13" s="612"/>
      <c r="AI13" s="612"/>
      <c r="AJ13" s="612"/>
      <c r="AK13" s="612"/>
      <c r="AL13" s="612"/>
      <c r="AM13" s="614">
        <v>15</v>
      </c>
    </row>
    <row s="1858" customFormat="1" customHeight="1" ht="15.75">
      <c r="A14" s="301"/>
      <c r="B14" s="301"/>
      <c r="C14" s="184"/>
      <c r="D14" s="2129"/>
      <c r="E14" s="2131"/>
      <c r="F14" s="2128"/>
      <c r="G14" s="2134"/>
      <c r="H14" s="2135"/>
      <c r="I14" s="2127"/>
      <c r="J14" s="2128"/>
      <c r="K14" s="429"/>
      <c r="L14" s="185"/>
      <c r="M14" s="615" t="s">
        <v>129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s="1858" customFormat="1" customHeight="1" ht="15.75">
      <c r="A15" s="301"/>
      <c r="B15" s="301"/>
      <c r="C15" s="184"/>
      <c r="D15" s="2129"/>
      <c r="E15" s="2132"/>
      <c r="F15" s="2128"/>
      <c r="G15" s="1068"/>
      <c r="H15" s="1069"/>
      <c r="I15" s="588" t="s">
        <v>130</v>
      </c>
      <c r="J15" s="185"/>
      <c r="K15" s="185"/>
      <c r="L15" s="185"/>
      <c r="M15" s="616"/>
      <c r="N15" s="820"/>
      <c r="O15" s="1424"/>
      <c r="P15" s="1421"/>
      <c r="Q15" s="1421"/>
      <c r="R15" s="1421"/>
      <c r="S15" s="1424"/>
      <c r="T15" s="1424"/>
      <c r="U15" s="1274"/>
      <c r="V15" s="1274"/>
      <c r="W15" s="1274"/>
      <c r="X15" s="1274"/>
      <c r="Y15" s="612"/>
      <c r="Z15" s="612"/>
      <c r="AA15" s="612"/>
      <c r="AB15" s="612"/>
      <c r="AC15" s="612"/>
      <c r="AD15" s="612"/>
      <c r="AE15" s="612"/>
      <c r="AF15" s="612"/>
      <c r="AG15" s="612"/>
      <c r="AH15" s="612"/>
      <c r="AI15" s="612"/>
      <c r="AJ15" s="612"/>
      <c r="AK15" s="612"/>
      <c r="AL15" s="612"/>
      <c r="AM15" s="614">
        <v>15</v>
      </c>
    </row>
    <row customHeight="1" ht="15">
      <c r="A16" s="431"/>
      <c r="B16" s="431"/>
      <c r="C16" s="1735" t="s">
        <v>103</v>
      </c>
      <c r="D16" s="2129" t="s">
        <v>102</v>
      </c>
      <c r="E16" s="2130" t="str">
        <f>INDEX(VD_NAME_LIST,MATCH("4190064",VD_ID_LIST,0))&amp;"; "&amp;INDEX(VD_NAME_LIST,MATCH("4190066",VD_ID_LIST,0))&amp;"; "&amp;INDEX(VD_NAME_LIST,MATCH("4190068",VD_ID_LIST,0))&amp;"; "&amp;INDEX(VD_NAME_LIST,MATCH("4190070",VD_ID_LIST,0))&amp;"; "&amp;INDEX(VD_NAME_LIST,MATCH("4190072",VD_ID_LIST,0))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28" t="s">
        <v>61</v>
      </c>
      <c r="G16" s="2578"/>
      <c r="H16" s="2148">
        <v>1</v>
      </c>
      <c r="I16" s="2655" t="str">
        <f>IF($U$16="","",INDEX(TERRITORY_MR_LIST,MATCH($U$16,TERRITORY_LIST_ID,0)))</f>
        <v>Территория 2</v>
      </c>
      <c r="J16" s="2128" t="s">
        <v>61</v>
      </c>
      <c r="K16" s="840"/>
      <c r="L16" s="1789" t="s">
        <v>118</v>
      </c>
      <c r="M16" s="2654" t="s">
        <v>131</v>
      </c>
      <c r="N16" s="612"/>
      <c r="O16" s="612" t="s">
        <v>132</v>
      </c>
      <c r="P16" s="612" t="str">
        <f>$E$16</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12" t="str">
        <f>IF($F$16="нет","без дифференциации",$I$16)</f>
        <v>Территория 2</v>
      </c>
      <c r="R16" s="612" t="str">
        <f>IF($J$16="нет","без дифференциации",$M$16)</f>
        <v>Райчихинская ГРЭС, ТС Прогресс</v>
      </c>
      <c r="S16" s="612"/>
      <c r="T16" s="612"/>
      <c r="U16" s="613" t="s">
        <v>104</v>
      </c>
      <c r="V16" s="612" t="s">
        <v>133</v>
      </c>
      <c r="W16" s="612"/>
      <c r="X16" s="603"/>
      <c r="Y16" s="603" t="s">
        <v>128</v>
      </c>
      <c r="Z16" s="603">
        <v>1705000</v>
      </c>
      <c r="AA16" s="603"/>
      <c r="AB16" s="603"/>
      <c r="AC16" s="603"/>
      <c r="AD16" s="603"/>
      <c r="AE16" s="603"/>
      <c r="AF16" s="603"/>
      <c r="AG16" s="603"/>
      <c r="AH16" s="603"/>
      <c r="AI16" s="603"/>
      <c r="AJ16" s="603"/>
      <c r="AK16" s="603"/>
      <c r="AL16" s="603"/>
      <c r="AM16" s="1858"/>
    </row>
    <row customHeight="1" ht="15">
      <c r="A17" s="431"/>
      <c r="B17" s="431"/>
      <c r="C17" s="184"/>
      <c r="D17" s="1828"/>
      <c r="E17" s="1828"/>
      <c r="F17" s="1828"/>
      <c r="G17" s="1828"/>
      <c r="H17" s="1828"/>
      <c r="I17" s="1828"/>
      <c r="J17" s="1828"/>
      <c r="K17" s="1806" t="s">
        <v>103</v>
      </c>
      <c r="L17" s="1736" t="s">
        <v>102</v>
      </c>
      <c r="M17" s="819" t="s">
        <v>134</v>
      </c>
      <c r="N17" s="820"/>
      <c r="O17" s="612" t="s">
        <v>135</v>
      </c>
      <c r="P17" s="612" t="str">
        <f>$E$16</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7" s="612" t="str">
        <f>IF($F$16="нет","без дифференциации",$I$16)</f>
        <v>Территория 2</v>
      </c>
      <c r="R17" s="612" t="str">
        <f>IF($J$17="нет","без дифференциации",$M$17)</f>
        <v>Котельная (Новорайчихинск)</v>
      </c>
      <c r="S17" s="612"/>
      <c r="T17" s="612"/>
      <c r="U17" s="613"/>
      <c r="V17" s="612"/>
      <c r="W17" s="612"/>
      <c r="X17" s="603"/>
      <c r="Y17" s="603" t="s">
        <v>128</v>
      </c>
      <c r="Z17" s="603">
        <v>1705000</v>
      </c>
      <c r="AA17" s="603"/>
      <c r="AB17" s="603"/>
      <c r="AC17" s="603"/>
      <c r="AD17" s="603"/>
      <c r="AE17" s="603"/>
      <c r="AF17" s="603"/>
      <c r="AG17" s="603"/>
      <c r="AH17" s="603"/>
      <c r="AI17" s="603"/>
      <c r="AJ17" s="603"/>
      <c r="AK17" s="603"/>
      <c r="AL17" s="603"/>
      <c r="AM17" s="1858"/>
    </row>
    <row customHeight="1" ht="15">
      <c r="A18" s="431"/>
      <c r="B18" s="431"/>
      <c r="C18" s="184"/>
      <c r="D18" s="2129"/>
      <c r="E18" s="2131"/>
      <c r="F18" s="2128"/>
      <c r="G18" s="2579"/>
      <c r="H18" s="2148"/>
      <c r="I18" s="2656" t="str">
        <f>IF($U$16="","",INDEX(TERRITORY_MR_LIST,MATCH($U$16,TERRITORY_LIST_ID,0)))</f>
        <v>Территория 2</v>
      </c>
      <c r="J18" s="2128"/>
      <c r="K18" s="429"/>
      <c r="L18" s="185"/>
      <c r="M18" s="615" t="s">
        <v>129</v>
      </c>
      <c r="N18" s="612"/>
      <c r="O18" s="612"/>
      <c r="P18" s="612"/>
      <c r="Q18" s="612"/>
      <c r="R18" s="612"/>
      <c r="S18" s="612"/>
      <c r="T18" s="612"/>
      <c r="U18" s="613"/>
      <c r="V18" s="612"/>
      <c r="W18" s="612"/>
      <c r="X18" s="603"/>
      <c r="Y18" s="603"/>
      <c r="Z18" s="603"/>
      <c r="AA18" s="603"/>
      <c r="AB18" s="603"/>
      <c r="AC18" s="603"/>
      <c r="AD18" s="603"/>
      <c r="AE18" s="603"/>
      <c r="AF18" s="603"/>
      <c r="AG18" s="603"/>
      <c r="AH18" s="603"/>
      <c r="AI18" s="603"/>
      <c r="AJ18" s="603"/>
      <c r="AK18" s="603"/>
      <c r="AL18" s="603"/>
      <c r="AM18" s="1858"/>
    </row>
    <row customHeight="1" ht="15">
      <c r="A19" s="431"/>
      <c r="B19" s="431"/>
      <c r="C19" s="184"/>
      <c r="D19" s="1828"/>
      <c r="E19" s="1828"/>
      <c r="F19" s="1828"/>
      <c r="G19" s="2582" t="s">
        <v>103</v>
      </c>
      <c r="H19" s="2124" t="s">
        <v>102</v>
      </c>
      <c r="I19" s="2583" t="str">
        <f>IF(U19="","",INDEX(TERRITORY_MR_LIST,MATCH(U19,TERRITORY_LIST_ID,0)))</f>
        <v>Территория 3</v>
      </c>
      <c r="J19" s="2128" t="s">
        <v>61</v>
      </c>
      <c r="K19" s="840"/>
      <c r="L19" s="1789" t="s">
        <v>118</v>
      </c>
      <c r="M19" s="2654" t="s">
        <v>136</v>
      </c>
      <c r="N19" s="612"/>
      <c r="O19" s="612" t="s">
        <v>137</v>
      </c>
      <c r="P19" s="612" t="str">
        <f>$E$16</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9" s="612" t="str">
        <f>IF($F$19="нет","без дифференциации",$I$19)</f>
        <v>Территория 3</v>
      </c>
      <c r="R19" s="612" t="str">
        <f>IF($J$19="нет","без дифференциации",$M$19)</f>
        <v>Благовещенская ТЭЦ (с. Чигири)</v>
      </c>
      <c r="S19" s="612"/>
      <c r="T19" s="612"/>
      <c r="U19" s="613" t="s">
        <v>108</v>
      </c>
      <c r="V19" s="612"/>
      <c r="W19" s="612"/>
      <c r="X19" s="603"/>
      <c r="Y19" s="603" t="s">
        <v>128</v>
      </c>
      <c r="Z19" s="603">
        <v>1705000</v>
      </c>
      <c r="AA19" s="603"/>
      <c r="AB19" s="603"/>
      <c r="AC19" s="603"/>
      <c r="AD19" s="603"/>
      <c r="AE19" s="603"/>
      <c r="AF19" s="603"/>
      <c r="AG19" s="603"/>
      <c r="AH19" s="603"/>
      <c r="AI19" s="603"/>
      <c r="AJ19" s="603"/>
      <c r="AK19" s="603"/>
      <c r="AL19" s="603"/>
      <c r="AM19" s="1858"/>
    </row>
    <row customHeight="1" ht="15">
      <c r="A20" s="431"/>
      <c r="B20" s="431"/>
      <c r="C20" s="184"/>
      <c r="D20" s="1828"/>
      <c r="E20" s="1828"/>
      <c r="F20" s="1828"/>
      <c r="G20" s="1828"/>
      <c r="H20" s="1828"/>
      <c r="I20" s="1828"/>
      <c r="J20" s="1828"/>
      <c r="K20" s="1806" t="s">
        <v>103</v>
      </c>
      <c r="L20" s="1736" t="s">
        <v>102</v>
      </c>
      <c r="M20" s="819" t="s">
        <v>138</v>
      </c>
      <c r="N20" s="820"/>
      <c r="O20" s="612" t="s">
        <v>139</v>
      </c>
      <c r="P20" s="612" t="str">
        <f>$E$16</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20" s="612" t="str">
        <f>IF($F$19="нет","без дифференциации",$I$19)</f>
        <v>Территория 3</v>
      </c>
      <c r="R20" s="612" t="str">
        <f>IF($J$20="нет","без дифференциации",$M$20)</f>
        <v>Котельная Центральная (с.Чигири)</v>
      </c>
      <c r="S20" s="612"/>
      <c r="T20" s="612"/>
      <c r="U20" s="613"/>
      <c r="V20" s="612"/>
      <c r="W20" s="612"/>
      <c r="X20" s="603"/>
      <c r="Y20" s="603" t="s">
        <v>128</v>
      </c>
      <c r="Z20" s="603">
        <v>1705000</v>
      </c>
      <c r="AA20" s="603"/>
      <c r="AB20" s="603"/>
      <c r="AC20" s="603"/>
      <c r="AD20" s="603"/>
      <c r="AE20" s="603"/>
      <c r="AF20" s="603"/>
      <c r="AG20" s="603"/>
      <c r="AH20" s="603"/>
      <c r="AI20" s="603"/>
      <c r="AJ20" s="603"/>
      <c r="AK20" s="603"/>
      <c r="AL20" s="603"/>
      <c r="AM20" s="1858"/>
    </row>
    <row customHeight="1" ht="15">
      <c r="A21" s="431"/>
      <c r="B21" s="431"/>
      <c r="C21" s="184"/>
      <c r="D21" s="1828"/>
      <c r="E21" s="1828"/>
      <c r="F21" s="1828"/>
      <c r="G21" s="2582"/>
      <c r="H21" s="2124"/>
      <c r="I21" s="2583"/>
      <c r="J21" s="2128"/>
      <c r="K21" s="429"/>
      <c r="L21" s="185"/>
      <c r="M21" s="615" t="s">
        <v>129</v>
      </c>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c r="AM21" s="1858"/>
    </row>
    <row customHeight="1" ht="38.25">
      <c r="A22" s="431"/>
      <c r="B22" s="431"/>
      <c r="C22" s="184"/>
      <c r="D22" s="2129"/>
      <c r="E22" s="2132"/>
      <c r="F22" s="2128"/>
      <c r="G22" s="429"/>
      <c r="H22" s="185"/>
      <c r="I22" s="588" t="s">
        <v>130</v>
      </c>
      <c r="J22" s="185"/>
      <c r="K22" s="185"/>
      <c r="L22" s="185"/>
      <c r="M22" s="616"/>
      <c r="N22" s="612"/>
      <c r="O22" s="612"/>
      <c r="P22" s="612"/>
      <c r="Q22" s="612"/>
      <c r="R22" s="612"/>
      <c r="S22" s="612"/>
      <c r="T22" s="612"/>
      <c r="U22" s="613"/>
      <c r="V22" s="612"/>
      <c r="W22" s="612"/>
      <c r="X22" s="603"/>
      <c r="Y22" s="603"/>
      <c r="Z22" s="603"/>
      <c r="AA22" s="603"/>
      <c r="AB22" s="603"/>
      <c r="AC22" s="603"/>
      <c r="AD22" s="603"/>
      <c r="AE22" s="603"/>
      <c r="AF22" s="603"/>
      <c r="AG22" s="603"/>
      <c r="AH22" s="603"/>
      <c r="AI22" s="603"/>
      <c r="AJ22" s="603"/>
      <c r="AK22" s="603"/>
      <c r="AL22" s="603"/>
      <c r="AM22" s="1858"/>
    </row>
    <row customHeight="1" ht="15.75">
      <c r="A23" s="617"/>
      <c r="B23" s="143"/>
      <c r="C23" s="814"/>
      <c r="D23" s="429"/>
      <c r="E23" s="579" t="s">
        <v>140</v>
      </c>
      <c r="F23" s="185"/>
      <c r="G23" s="185"/>
      <c r="H23" s="185"/>
      <c r="I23" s="185"/>
      <c r="J23" s="185"/>
      <c r="K23" s="185" t="s">
        <v>22</v>
      </c>
      <c r="L23" s="185"/>
      <c r="M23" s="616"/>
      <c r="N23" s="1635"/>
      <c r="AM23" s="591">
        <v>15</v>
      </c>
    </row>
    <row customHeight="1" ht="11.25" hidden="1">
      <c r="A24" s="591" t="s">
        <v>82</v>
      </c>
      <c r="B24" s="591">
        <v>0</v>
      </c>
      <c r="C24" s="591">
        <v>3</v>
      </c>
      <c r="D24" s="591">
        <v>4</v>
      </c>
      <c r="E24" s="591">
        <v>44</v>
      </c>
      <c r="F24" s="591">
        <v>6</v>
      </c>
      <c r="G24" s="591">
        <v>4</v>
      </c>
      <c r="H24" s="591">
        <v>5</v>
      </c>
      <c r="I24" s="591">
        <v>52</v>
      </c>
      <c r="J24" s="591">
        <v>6</v>
      </c>
      <c r="K24" s="591">
        <v>3</v>
      </c>
      <c r="L24" s="591">
        <v>6</v>
      </c>
      <c r="M24" s="591">
        <v>56</v>
      </c>
      <c r="N24" s="592">
        <v>8</v>
      </c>
      <c r="O24" s="1421">
        <v>0</v>
      </c>
      <c r="P24" s="1421">
        <v>0</v>
      </c>
      <c r="Q24" s="1421">
        <v>0</v>
      </c>
      <c r="R24" s="1421">
        <v>0</v>
      </c>
      <c r="S24" s="1421">
        <v>0</v>
      </c>
      <c r="T24" s="1421">
        <v>0</v>
      </c>
      <c r="U24" s="1271">
        <v>0</v>
      </c>
      <c r="V24" s="1271">
        <v>0</v>
      </c>
      <c r="W24" s="1271">
        <v>0</v>
      </c>
      <c r="X24" s="1271">
        <v>0</v>
      </c>
      <c r="Y24" s="592">
        <v>0</v>
      </c>
      <c r="Z24" s="592">
        <v>0</v>
      </c>
      <c r="AA24" s="592">
        <v>0</v>
      </c>
      <c r="AB24" s="592">
        <v>0</v>
      </c>
      <c r="AC24" s="592">
        <v>0</v>
      </c>
      <c r="AD24" s="592">
        <v>0</v>
      </c>
      <c r="AE24" s="592">
        <v>0</v>
      </c>
      <c r="AF24" s="592">
        <v>0</v>
      </c>
      <c r="AG24" s="592">
        <v>0</v>
      </c>
      <c r="AH24" s="592">
        <v>0</v>
      </c>
      <c r="AI24" s="592">
        <v>0</v>
      </c>
      <c r="AJ24" s="592">
        <v>0</v>
      </c>
      <c r="AK24" s="592">
        <v>0</v>
      </c>
      <c r="AL24" s="592">
        <v>8</v>
      </c>
      <c r="AM24" s="591">
        <v>11</v>
      </c>
    </row>
  </sheetData>
  <sheetProtection sheet="1" formatColumns="0" formatRows="0" autoFilter="0" sort="1" insertRows="1" insertColumns="1" deleteRows="1" deleteColumns="1"/>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2"/>
    <mergeCell ref="E16:E22"/>
    <mergeCell ref="F16:F22"/>
    <mergeCell ref="G16:G18"/>
    <mergeCell ref="H16:H18"/>
    <mergeCell ref="I16:I18"/>
    <mergeCell ref="J16:J18"/>
    <mergeCell ref="C16:C22"/>
    <mergeCell ref="G19:G21"/>
    <mergeCell ref="H19:H21"/>
    <mergeCell ref="I19:I21"/>
    <mergeCell ref="J19:J21"/>
  </mergeCells>
  <dataValidations count="7">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00695-0C13-6611-6AD6-AC10CB30A0E8}" mc:Ignorable="x14ac xr xr2 xr3">
  <sheetPr>
    <tabColor rgb="FFE26B0A"/>
  </sheetPr>
  <dimension ref="A1:AD40"/>
  <sheetViews>
    <sheetView showGridLines="0" zoomScale="90" workbookViewId="0">
      <pane xSplit="8" ySplit="31" topLeftCell="Q32" activePane="bottomRight" state="frozen"/>
      <selection pane="bottomLeft" activeCell="A32" sqref="A32"/>
      <selection pane="topRight" activeCell="I1" sqref="I1"/>
      <selection pane="bottomRight" activeCell="Q25" sqref="Q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374" width="93.00390625" customWidth="1"/>
    <col min="20" max="28" style="1643" width="10.00390625" customWidth="1"/>
    <col min="29" max="29" style="683" width="10.00390625" customWidth="1"/>
    <col min="30" max="30" style="1643" width="10.57421875" hidden="1"/>
  </cols>
  <sheetData>
    <row s="1374" customFormat="1" customHeight="1" ht="22.5" hidden="1">
      <c r="C1" s="680"/>
      <c r="G1" s="425">
        <v>4</v>
      </c>
      <c r="I1" s="425">
        <v>4</v>
      </c>
      <c r="K1" s="1374">
        <v>4</v>
      </c>
      <c r="L1" s="1374"/>
      <c r="M1" s="1374">
        <v>4</v>
      </c>
      <c r="N1" s="1374"/>
      <c r="O1" s="1374">
        <v>4</v>
      </c>
      <c r="P1" s="1374"/>
      <c r="Q1" s="1374">
        <v>4</v>
      </c>
      <c r="R1" s="1374"/>
      <c r="AC1" s="428"/>
      <c r="AD1" s="425" t="s">
        <v>14</v>
      </c>
    </row>
    <row s="1374" customFormat="1" customHeight="1" ht="15" hidden="1">
      <c r="C2" s="680"/>
      <c r="K2" s="1374"/>
      <c r="L2" s="1374"/>
      <c r="M2" s="1374"/>
      <c r="N2" s="1374"/>
      <c r="O2" s="1374"/>
      <c r="P2" s="1374"/>
      <c r="Q2" s="1374"/>
      <c r="R2" s="1374"/>
      <c r="AC2" s="428"/>
      <c r="AD2" s="425">
        <v>0</v>
      </c>
    </row>
    <row customHeight="1" ht="22.5" hidden="1">
      <c r="A3" s="513"/>
      <c r="B3" s="2418"/>
      <c r="C3" s="2419" t="s">
        <v>103</v>
      </c>
      <c r="D3" s="697" t="str">
        <f>B3&amp;".1"</f>
        <v>.1</v>
      </c>
      <c r="E3" s="698" t="s">
        <v>980</v>
      </c>
      <c r="F3" s="699" t="s">
        <v>323</v>
      </c>
      <c r="G3" s="694"/>
      <c r="H3" s="409"/>
      <c r="I3" s="694"/>
      <c r="J3" s="409"/>
      <c r="K3" s="2374"/>
      <c r="L3" s="826"/>
      <c r="M3" s="2374"/>
      <c r="N3" s="826"/>
      <c r="O3" s="2374"/>
      <c r="P3" s="826"/>
      <c r="Q3" s="2374"/>
      <c r="R3" s="826"/>
      <c r="S3" s="297" t="s">
        <v>981</v>
      </c>
      <c r="AD3" s="513">
        <v>0</v>
      </c>
    </row>
    <row customHeight="1" ht="15" hidden="1">
      <c r="A4" s="513"/>
      <c r="B4" s="2418"/>
      <c r="C4" s="2419"/>
      <c r="D4" s="697" t="str">
        <f>B3&amp;".2"</f>
        <v>.2</v>
      </c>
      <c r="E4" s="698" t="s">
        <v>982</v>
      </c>
      <c r="F4" s="699" t="s">
        <v>323</v>
      </c>
      <c r="G4" s="1745" t="s">
        <v>22</v>
      </c>
      <c r="H4" s="409"/>
      <c r="I4" s="1745" t="s">
        <v>22</v>
      </c>
      <c r="J4" s="409"/>
      <c r="K4" s="1745" t="s">
        <v>22</v>
      </c>
      <c r="L4" s="826"/>
      <c r="M4" s="1745" t="s">
        <v>22</v>
      </c>
      <c r="N4" s="826"/>
      <c r="O4" s="1745" t="s">
        <v>22</v>
      </c>
      <c r="P4" s="826"/>
      <c r="Q4" s="1745" t="s">
        <v>22</v>
      </c>
      <c r="R4" s="826"/>
      <c r="S4" s="297" t="s">
        <v>983</v>
      </c>
      <c r="AD4" s="513">
        <v>0</v>
      </c>
    </row>
    <row s="1374" customFormat="1" customHeight="1" ht="15" hidden="1">
      <c r="C5" s="680"/>
      <c r="K5" s="1374"/>
      <c r="L5" s="1374"/>
      <c r="M5" s="1374"/>
      <c r="N5" s="1374"/>
      <c r="O5" s="1374"/>
      <c r="P5" s="1374"/>
      <c r="Q5" s="1374"/>
      <c r="R5" s="1374"/>
      <c r="AC5" s="428"/>
      <c r="AD5" s="425">
        <v>0</v>
      </c>
    </row>
    <row customHeight="1" ht="22.5" hidden="1">
      <c r="A6" s="513"/>
      <c r="B6" s="2418"/>
      <c r="C6" s="2419" t="s">
        <v>103</v>
      </c>
      <c r="D6" s="697" t="str">
        <f>B6&amp;".1"</f>
        <v>.1</v>
      </c>
      <c r="E6" s="698" t="s">
        <v>984</v>
      </c>
      <c r="F6" s="699" t="s">
        <v>323</v>
      </c>
      <c r="G6" s="694"/>
      <c r="H6" s="409"/>
      <c r="I6" s="694"/>
      <c r="J6" s="409"/>
      <c r="K6" s="2374"/>
      <c r="L6" s="826"/>
      <c r="M6" s="2374"/>
      <c r="N6" s="826"/>
      <c r="O6" s="2374"/>
      <c r="P6" s="826"/>
      <c r="Q6" s="2374"/>
      <c r="R6" s="826"/>
      <c r="S6" s="297" t="s">
        <v>985</v>
      </c>
      <c r="AD6" s="513">
        <v>0</v>
      </c>
    </row>
    <row customHeight="1" ht="15" hidden="1">
      <c r="A7" s="513"/>
      <c r="B7" s="2418"/>
      <c r="C7" s="2419"/>
      <c r="D7" s="697" t="str">
        <f>B6&amp;".2"</f>
        <v>.2</v>
      </c>
      <c r="E7" s="698" t="s">
        <v>982</v>
      </c>
      <c r="F7" s="699" t="s">
        <v>323</v>
      </c>
      <c r="G7" s="1745" t="s">
        <v>22</v>
      </c>
      <c r="H7" s="409"/>
      <c r="I7" s="1745" t="s">
        <v>22</v>
      </c>
      <c r="J7" s="409"/>
      <c r="K7" s="1745" t="s">
        <v>22</v>
      </c>
      <c r="L7" s="826"/>
      <c r="M7" s="1745" t="s">
        <v>22</v>
      </c>
      <c r="N7" s="826"/>
      <c r="O7" s="1745" t="s">
        <v>22</v>
      </c>
      <c r="P7" s="826"/>
      <c r="Q7" s="1745" t="s">
        <v>22</v>
      </c>
      <c r="R7" s="826"/>
      <c r="S7" s="297" t="s">
        <v>983</v>
      </c>
      <c r="AD7" s="513">
        <v>0</v>
      </c>
    </row>
    <row s="1374" customFormat="1" customHeight="1" ht="15" hidden="1">
      <c r="C8" s="680"/>
      <c r="K8" s="1374"/>
      <c r="L8" s="1374"/>
      <c r="M8" s="1374"/>
      <c r="N8" s="1374"/>
      <c r="O8" s="1374"/>
      <c r="P8" s="1374"/>
      <c r="Q8" s="1374"/>
      <c r="R8" s="1374"/>
      <c r="AC8" s="428"/>
      <c r="AD8" s="425">
        <v>0</v>
      </c>
    </row>
    <row customHeight="1" ht="22.5" hidden="1">
      <c r="A9" s="513"/>
      <c r="B9" s="2418"/>
      <c r="C9" s="2419" t="s">
        <v>103</v>
      </c>
      <c r="D9" s="697" t="str">
        <f>B9&amp;".1"</f>
        <v>.1</v>
      </c>
      <c r="E9" s="698" t="s">
        <v>986</v>
      </c>
      <c r="F9" s="699" t="s">
        <v>323</v>
      </c>
      <c r="G9" s="705" t="s">
        <v>22</v>
      </c>
      <c r="H9" s="409" t="s">
        <v>22</v>
      </c>
      <c r="I9" s="705" t="s">
        <v>22</v>
      </c>
      <c r="J9" s="409" t="s">
        <v>22</v>
      </c>
      <c r="K9" s="869" t="s">
        <v>22</v>
      </c>
      <c r="L9" s="826" t="s">
        <v>22</v>
      </c>
      <c r="M9" s="869" t="s">
        <v>22</v>
      </c>
      <c r="N9" s="826" t="s">
        <v>22</v>
      </c>
      <c r="O9" s="869" t="s">
        <v>22</v>
      </c>
      <c r="P9" s="826" t="s">
        <v>22</v>
      </c>
      <c r="Q9" s="869" t="s">
        <v>22</v>
      </c>
      <c r="R9" s="826" t="s">
        <v>22</v>
      </c>
      <c r="S9" s="297"/>
      <c r="AD9" s="513">
        <v>0</v>
      </c>
    </row>
    <row customHeight="1" ht="15" hidden="1">
      <c r="A10" s="513"/>
      <c r="B10" s="2418"/>
      <c r="C10" s="2419"/>
      <c r="D10" s="697" t="str">
        <f>B9&amp;".2"</f>
        <v>.2</v>
      </c>
      <c r="E10" s="698" t="s">
        <v>987</v>
      </c>
      <c r="F10" s="699" t="s">
        <v>323</v>
      </c>
      <c r="G10" s="1739" t="s">
        <v>22</v>
      </c>
      <c r="H10" s="409" t="s">
        <v>22</v>
      </c>
      <c r="I10" s="1739" t="s">
        <v>22</v>
      </c>
      <c r="J10" s="409" t="s">
        <v>22</v>
      </c>
      <c r="K10" s="1739" t="s">
        <v>22</v>
      </c>
      <c r="L10" s="826" t="s">
        <v>22</v>
      </c>
      <c r="M10" s="1739" t="s">
        <v>22</v>
      </c>
      <c r="N10" s="826" t="s">
        <v>22</v>
      </c>
      <c r="O10" s="1739" t="s">
        <v>22</v>
      </c>
      <c r="P10" s="826" t="s">
        <v>22</v>
      </c>
      <c r="Q10" s="1739" t="s">
        <v>22</v>
      </c>
      <c r="R10" s="826" t="s">
        <v>22</v>
      </c>
      <c r="S10" s="297" t="s">
        <v>988</v>
      </c>
      <c r="AD10" s="513">
        <v>0</v>
      </c>
    </row>
    <row customHeight="1" ht="15" hidden="1">
      <c r="A11" s="513"/>
      <c r="B11" s="2418"/>
      <c r="C11" s="2419"/>
      <c r="D11" s="697" t="str">
        <f>B9&amp;".3"</f>
        <v>.3</v>
      </c>
      <c r="E11" s="698" t="s">
        <v>989</v>
      </c>
      <c r="F11" s="699" t="s">
        <v>323</v>
      </c>
      <c r="G11" s="1739" t="s">
        <v>22</v>
      </c>
      <c r="H11" s="409" t="s">
        <v>22</v>
      </c>
      <c r="I11" s="1739" t="s">
        <v>22</v>
      </c>
      <c r="J11" s="409" t="s">
        <v>22</v>
      </c>
      <c r="K11" s="1739" t="s">
        <v>22</v>
      </c>
      <c r="L11" s="826" t="s">
        <v>22</v>
      </c>
      <c r="M11" s="1739" t="s">
        <v>22</v>
      </c>
      <c r="N11" s="826" t="s">
        <v>22</v>
      </c>
      <c r="O11" s="1739" t="s">
        <v>22</v>
      </c>
      <c r="P11" s="826" t="s">
        <v>22</v>
      </c>
      <c r="Q11" s="1739" t="s">
        <v>22</v>
      </c>
      <c r="R11" s="826" t="s">
        <v>22</v>
      </c>
      <c r="S11" s="297" t="s">
        <v>990</v>
      </c>
      <c r="AD11" s="513">
        <v>0</v>
      </c>
    </row>
    <row s="1374" customFormat="1" customHeight="1" ht="15" hidden="1">
      <c r="C12" s="680"/>
      <c r="K12" s="1374"/>
      <c r="L12" s="1374"/>
      <c r="M12" s="1374"/>
      <c r="N12" s="1374"/>
      <c r="O12" s="1374"/>
      <c r="P12" s="1374"/>
      <c r="Q12" s="1374"/>
      <c r="R12" s="1374"/>
      <c r="AC12" s="428"/>
      <c r="AD12" s="425">
        <v>0</v>
      </c>
    </row>
    <row customHeight="1" ht="33.75" hidden="1">
      <c r="A13" s="513"/>
      <c r="B13" s="2418"/>
      <c r="C13" s="2419" t="s">
        <v>103</v>
      </c>
      <c r="D13" s="697" t="str">
        <f>B13&amp;".1"</f>
        <v>.1</v>
      </c>
      <c r="E13" s="698" t="s">
        <v>991</v>
      </c>
      <c r="F13" s="699" t="s">
        <v>323</v>
      </c>
      <c r="G13" s="705" t="s">
        <v>22</v>
      </c>
      <c r="H13" s="409" t="s">
        <v>22</v>
      </c>
      <c r="I13" s="705" t="s">
        <v>22</v>
      </c>
      <c r="J13" s="409" t="s">
        <v>22</v>
      </c>
      <c r="K13" s="869" t="s">
        <v>22</v>
      </c>
      <c r="L13" s="826" t="s">
        <v>22</v>
      </c>
      <c r="M13" s="869" t="s">
        <v>22</v>
      </c>
      <c r="N13" s="826" t="s">
        <v>22</v>
      </c>
      <c r="O13" s="869" t="s">
        <v>22</v>
      </c>
      <c r="P13" s="826" t="s">
        <v>22</v>
      </c>
      <c r="Q13" s="869" t="s">
        <v>22</v>
      </c>
      <c r="R13" s="826" t="s">
        <v>22</v>
      </c>
      <c r="S13" s="297" t="s">
        <v>992</v>
      </c>
      <c r="AD13" s="513">
        <v>0</v>
      </c>
    </row>
    <row customHeight="1" ht="15" hidden="1">
      <c r="B14" s="2418"/>
      <c r="C14" s="2419"/>
      <c r="D14" s="697" t="str">
        <f>B13&amp;".2"</f>
        <v>.2</v>
      </c>
      <c r="E14" s="698" t="s">
        <v>993</v>
      </c>
      <c r="F14" s="699" t="s">
        <v>323</v>
      </c>
      <c r="G14" s="1739" t="s">
        <v>22</v>
      </c>
      <c r="H14" s="409" t="s">
        <v>22</v>
      </c>
      <c r="I14" s="1739" t="s">
        <v>22</v>
      </c>
      <c r="J14" s="409" t="s">
        <v>22</v>
      </c>
      <c r="K14" s="1739" t="s">
        <v>22</v>
      </c>
      <c r="L14" s="826" t="s">
        <v>22</v>
      </c>
      <c r="M14" s="1739" t="s">
        <v>22</v>
      </c>
      <c r="N14" s="826" t="s">
        <v>22</v>
      </c>
      <c r="O14" s="1739" t="s">
        <v>22</v>
      </c>
      <c r="P14" s="826" t="s">
        <v>22</v>
      </c>
      <c r="Q14" s="1739" t="s">
        <v>22</v>
      </c>
      <c r="R14" s="826" t="s">
        <v>22</v>
      </c>
      <c r="S14" s="297" t="s">
        <v>994</v>
      </c>
      <c r="AD14" s="513">
        <v>0</v>
      </c>
    </row>
    <row s="1374" customFormat="1" customHeight="1" ht="15" hidden="1">
      <c r="C15" s="680"/>
      <c r="K15" s="1374"/>
      <c r="L15" s="1374"/>
      <c r="M15" s="1374"/>
      <c r="N15" s="1374"/>
      <c r="O15" s="1374"/>
      <c r="P15" s="1374"/>
      <c r="Q15" s="1374"/>
      <c r="R15" s="1374"/>
      <c r="AC15" s="428"/>
      <c r="AD15" s="425">
        <v>0</v>
      </c>
    </row>
    <row s="1374" customFormat="1" customHeight="1" ht="15" hidden="1">
      <c r="C16" s="680"/>
      <c r="K16" s="1374"/>
      <c r="L16" s="1374"/>
      <c r="M16" s="1374"/>
      <c r="N16" s="1374"/>
      <c r="O16" s="1374"/>
      <c r="P16" s="1374"/>
      <c r="Q16" s="1374"/>
      <c r="R16" s="1374"/>
      <c r="AC16" s="428"/>
      <c r="AD16" s="425">
        <v>0</v>
      </c>
    </row>
    <row s="1374" customFormat="1" customHeight="1" ht="15" hidden="1">
      <c r="C17" s="680"/>
      <c r="K17" s="1374"/>
      <c r="L17" s="1374"/>
      <c r="M17" s="1374"/>
      <c r="N17" s="1374"/>
      <c r="O17" s="1374"/>
      <c r="P17" s="1374"/>
      <c r="Q17" s="1374"/>
      <c r="R17" s="1374"/>
      <c r="AC17" s="428"/>
      <c r="AD17" s="425">
        <v>0</v>
      </c>
    </row>
    <row s="1374" customFormat="1" customHeight="1" ht="15" hidden="1">
      <c r="C18" s="680"/>
      <c r="K18" s="1374"/>
      <c r="L18" s="1374"/>
      <c r="M18" s="1374"/>
      <c r="N18" s="1374"/>
      <c r="O18" s="1374"/>
      <c r="P18" s="1374"/>
      <c r="Q18" s="1374"/>
      <c r="R18" s="1374"/>
      <c r="AC18" s="428"/>
      <c r="AD18" s="425">
        <v>0</v>
      </c>
    </row>
    <row s="1374" customFormat="1" customHeight="1" ht="15" hidden="1">
      <c r="C19" s="680"/>
      <c r="K19" s="1374"/>
      <c r="L19" s="1374"/>
      <c r="M19" s="1374"/>
      <c r="N19" s="1374"/>
      <c r="O19" s="1374"/>
      <c r="P19" s="1374"/>
      <c r="Q19" s="1374"/>
      <c r="R19" s="1374"/>
      <c r="AC19" s="428"/>
      <c r="AD19" s="425">
        <v>0</v>
      </c>
    </row>
    <row s="1374" customFormat="1" customHeight="1" ht="15" hidden="1">
      <c r="C20" s="680"/>
      <c r="K20" s="1374"/>
      <c r="L20" s="1374"/>
      <c r="M20" s="1374"/>
      <c r="N20" s="1374"/>
      <c r="O20" s="1374"/>
      <c r="P20" s="1374"/>
      <c r="Q20" s="1374"/>
      <c r="R20" s="1374"/>
      <c r="AC20" s="428"/>
      <c r="AD20" s="425">
        <v>0</v>
      </c>
    </row>
    <row customHeight="1" ht="15.75">
      <c r="C21" s="184"/>
      <c r="D21" s="517"/>
      <c r="E21" s="517"/>
      <c r="F21" s="517"/>
      <c r="G21" s="517"/>
      <c r="H21" s="517"/>
      <c r="I21" s="517"/>
      <c r="J21" s="517"/>
      <c r="K21" s="1643"/>
      <c r="L21" s="1643"/>
      <c r="M21" s="1643"/>
      <c r="N21" s="1643"/>
      <c r="O21" s="1643"/>
      <c r="P21" s="1643"/>
      <c r="Q21" s="1643"/>
      <c r="R21" s="1643"/>
      <c r="AD21" s="513">
        <v>15</v>
      </c>
    </row>
    <row customHeight="1" ht="23.25">
      <c r="C22" s="184"/>
      <c r="D22"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8"/>
      <c r="F22" s="2258"/>
      <c r="G22" s="2258"/>
      <c r="H22" s="2258"/>
      <c r="I22" s="2258"/>
      <c r="J22" s="684"/>
      <c r="K22" s="2269"/>
      <c r="L22" s="2269"/>
      <c r="M22" s="2269"/>
      <c r="N22" s="2269"/>
      <c r="O22" s="2269"/>
      <c r="P22" s="2269"/>
      <c r="Q22" s="2269"/>
      <c r="R22" s="2269"/>
      <c r="S22" s="545"/>
      <c r="AD22" s="513">
        <v>22</v>
      </c>
    </row>
    <row customHeight="1" ht="15.75">
      <c r="C23" s="184"/>
      <c r="D23" s="2197" t="str">
        <f>IF(org=0,"Не определено",org)</f>
        <v>АО "ДГК"</v>
      </c>
      <c r="E23" s="2197"/>
      <c r="F23" s="2197"/>
      <c r="G23" s="2197"/>
      <c r="H23" s="2197"/>
      <c r="I23" s="2197"/>
      <c r="J23" s="684"/>
      <c r="K23" s="2270"/>
      <c r="L23" s="2270"/>
      <c r="M23" s="2270"/>
      <c r="N23" s="2270"/>
      <c r="O23" s="2270"/>
      <c r="P23" s="2270"/>
      <c r="Q23" s="2270"/>
      <c r="R23" s="2270"/>
      <c r="S23" s="545"/>
      <c r="AD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AD24" s="513">
        <v>15</v>
      </c>
    </row>
    <row s="1643" customFormat="1" customHeight="1" ht="1.05">
      <c r="A25" s="767"/>
      <c r="C25" s="184"/>
      <c r="D25" s="517"/>
      <c r="E25" s="517"/>
      <c r="F25" s="517"/>
      <c r="G25" s="545"/>
      <c r="H25" s="760"/>
      <c r="I25" s="545" t="s">
        <v>126</v>
      </c>
      <c r="J25" s="760"/>
      <c r="K25" s="1374" t="s">
        <v>132</v>
      </c>
      <c r="L25" s="760"/>
      <c r="M25" s="1374" t="s">
        <v>135</v>
      </c>
      <c r="N25" s="760"/>
      <c r="O25" s="1374" t="s">
        <v>137</v>
      </c>
      <c r="P25" s="760"/>
      <c r="Q25" s="1374" t="s">
        <v>139</v>
      </c>
      <c r="R25" s="760"/>
      <c r="S25" s="425"/>
      <c r="AC25" s="683"/>
      <c r="AD25" s="766">
        <v>1</v>
      </c>
    </row>
    <row customHeight="1" ht="15.75">
      <c r="C26" s="184"/>
      <c r="D26" s="719"/>
      <c r="E26" s="2388" t="s">
        <v>114</v>
      </c>
      <c r="F26" s="2389"/>
      <c r="G26" s="2416" t="str">
        <f>IF(G25="","",INDEX(DIFFERENTIATION_UNMERGE_VD,MATCH(G25,DIFFERENTIATION_ID_DIFF,0)))</f>
        <v/>
      </c>
      <c r="H26" s="2417"/>
      <c r="I26" s="241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417"/>
      <c r="K26" s="2416" t="str">
        <f>IF(K25="","",INDEX(DIFFERENTIATION_UNMERGE_VD,MATCH(K25,DIFFERENTIATION_ID_DIFF,0)))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17"/>
      <c r="M26" s="2416" t="str">
        <f>IF(M25="","",INDEX(DIFFERENTIATION_UNMERGE_VD,MATCH(M25,DIFFERENTIATION_ID_DIFF,0)))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17"/>
      <c r="O26" s="2416" t="str">
        <f>IF(O25="","",INDEX(DIFFERENTIATION_UNMERGE_VD,MATCH(O25,DIFFERENTIATION_ID_DIFF,0)))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26" s="2417"/>
      <c r="Q26" s="2416" t="str">
        <f>IF(Q25="","",INDEX(DIFFERENTIATION_UNMERGE_VD,MATCH(Q25,DIFFERENTIATION_ID_DIFF,0)))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R26" s="2417"/>
      <c r="S26" s="2196" t="s">
        <v>318</v>
      </c>
      <c r="AD26" s="513">
        <v>15</v>
      </c>
    </row>
    <row s="1643" customFormat="1" customHeight="1" ht="15.75">
      <c r="A27" s="767"/>
      <c r="C27" s="184"/>
      <c r="D27" s="719"/>
      <c r="E27" s="2388" t="s">
        <v>581</v>
      </c>
      <c r="F27" s="2389"/>
      <c r="G27" s="2416" t="str">
        <f>IF(G25="","",INDEX(DIFFERENTIATION_UNMERGE_AREA,MATCH(G25,DIFFERENTIATION_ID_DIFF,0)))</f>
        <v/>
      </c>
      <c r="H27" s="2417"/>
      <c r="I27" s="2416" t="str">
        <f>IF(I25="","",INDEX(DIFFERENTIATION_UNMERGE_AREA,MATCH(I25,DIFFERENTIATION_ID_DIFF,0)))</f>
        <v>Территория 1</v>
      </c>
      <c r="J27" s="2417"/>
      <c r="K27" s="2416" t="str">
        <f>IF(K25="","",INDEX(DIFFERENTIATION_UNMERGE_AREA,MATCH(K25,DIFFERENTIATION_ID_DIFF,0)))</f>
        <v>Территория 2</v>
      </c>
      <c r="L27" s="2417"/>
      <c r="M27" s="2416" t="str">
        <f>IF(M25="","",INDEX(DIFFERENTIATION_UNMERGE_AREA,MATCH(M25,DIFFERENTIATION_ID_DIFF,0)))</f>
        <v>Территория 2</v>
      </c>
      <c r="N27" s="2417"/>
      <c r="O27" s="2416" t="str">
        <f>IF(O25="","",INDEX(DIFFERENTIATION_UNMERGE_AREA,MATCH(O25,DIFFERENTIATION_ID_DIFF,0)))</f>
        <v>Территория 3</v>
      </c>
      <c r="P27" s="2417"/>
      <c r="Q27" s="2416" t="str">
        <f>IF(Q25="","",INDEX(DIFFERENTIATION_UNMERGE_AREA,MATCH(Q25,DIFFERENTIATION_ID_DIFF,0)))</f>
        <v>Территория 3</v>
      </c>
      <c r="R27" s="2417"/>
      <c r="S27" s="2216"/>
      <c r="AC27" s="683"/>
      <c r="AD27" s="766">
        <v>15</v>
      </c>
    </row>
    <row s="1643" customFormat="1" customHeight="1" ht="15.75">
      <c r="A28" s="767"/>
      <c r="C28" s="184"/>
      <c r="D28" s="719"/>
      <c r="E28" s="2388" t="s">
        <v>582</v>
      </c>
      <c r="F28" s="2389"/>
      <c r="G28" s="2416" t="str">
        <f>IF(G25="","",INDEX(DIFFERENTIATION_UNMERGE_SYSTEM,MATCH(G25,DIFFERENTIATION_ID_DIFF,0)))</f>
        <v/>
      </c>
      <c r="H28" s="2417"/>
      <c r="I28" s="2416" t="str">
        <f>IF(I25="","",INDEX(DIFFERENTIATION_UNMERGE_SYSTEM,MATCH(I25,DIFFERENTIATION_ID_DIFF,0)))</f>
        <v>Благовещенская ТЭЦ, ТС Благовещенск</v>
      </c>
      <c r="J28" s="2417"/>
      <c r="K28" s="2416" t="str">
        <f>IF(K25="","",INDEX(DIFFERENTIATION_UNMERGE_SYSTEM,MATCH(K25,DIFFERENTIATION_ID_DIFF,0)))</f>
        <v>Райчихинская ГРЭС, ТС Прогресс</v>
      </c>
      <c r="L28" s="2417"/>
      <c r="M28" s="2416" t="str">
        <f>IF(M25="","",INDEX(DIFFERENTIATION_UNMERGE_SYSTEM,MATCH(M25,DIFFERENTIATION_ID_DIFF,0)))</f>
        <v>Котельная (Новорайчихинск)</v>
      </c>
      <c r="N28" s="2417"/>
      <c r="O28" s="2416" t="str">
        <f>IF(O25="","",INDEX(DIFFERENTIATION_UNMERGE_SYSTEM,MATCH(O25,DIFFERENTIATION_ID_DIFF,0)))</f>
        <v>Благовещенская ТЭЦ (с. Чигири)</v>
      </c>
      <c r="P28" s="2417"/>
      <c r="Q28" s="2416" t="str">
        <f>IF(Q25="","",INDEX(DIFFERENTIATION_UNMERGE_SYSTEM,MATCH(Q25,DIFFERENTIATION_ID_DIFF,0)))</f>
        <v>Котельная Центральная (с.Чигири)</v>
      </c>
      <c r="R28" s="2417"/>
      <c r="S28" s="2216"/>
      <c r="AC28" s="683"/>
      <c r="AD28" s="766">
        <v>15</v>
      </c>
    </row>
    <row s="1643" customFormat="1" customHeight="1" ht="15.75">
      <c r="A29" s="767"/>
      <c r="C29" s="184"/>
      <c r="D29" s="2390" t="s">
        <v>317</v>
      </c>
      <c r="E29" s="2391"/>
      <c r="F29" s="2391"/>
      <c r="G29" s="895"/>
      <c r="H29" s="895"/>
      <c r="I29" s="895"/>
      <c r="J29" s="896"/>
      <c r="K29" s="2388"/>
      <c r="L29" s="2388"/>
      <c r="M29" s="2388"/>
      <c r="N29" s="2388"/>
      <c r="O29" s="2388"/>
      <c r="P29" s="2388"/>
      <c r="Q29" s="2388"/>
      <c r="R29" s="2388"/>
      <c r="S29" s="2216"/>
      <c r="AC29" s="683"/>
      <c r="AD29" s="766">
        <v>15</v>
      </c>
    </row>
    <row customHeight="1" ht="35.699999999999996">
      <c r="C30" s="184"/>
      <c r="D30" s="769" t="s">
        <v>88</v>
      </c>
      <c r="E30" s="768" t="s">
        <v>319</v>
      </c>
      <c r="F30" s="768" t="s">
        <v>583</v>
      </c>
      <c r="G30" s="816" t="s">
        <v>320</v>
      </c>
      <c r="H30" s="815" t="s">
        <v>407</v>
      </c>
      <c r="I30" s="692" t="s">
        <v>320</v>
      </c>
      <c r="J30" s="473" t="s">
        <v>407</v>
      </c>
      <c r="K30" s="2283" t="s">
        <v>320</v>
      </c>
      <c r="L30" s="2387" t="s">
        <v>407</v>
      </c>
      <c r="M30" s="2283" t="s">
        <v>320</v>
      </c>
      <c r="N30" s="2387" t="s">
        <v>407</v>
      </c>
      <c r="O30" s="2283" t="s">
        <v>320</v>
      </c>
      <c r="P30" s="2387" t="s">
        <v>407</v>
      </c>
      <c r="Q30" s="2283" t="s">
        <v>320</v>
      </c>
      <c r="R30" s="2387" t="s">
        <v>407</v>
      </c>
      <c r="S30" s="2222"/>
      <c r="AD30" s="513">
        <v>34</v>
      </c>
    </row>
    <row customHeight="1" ht="15" hidden="1">
      <c r="C31" s="184"/>
      <c r="D31" s="601"/>
      <c r="E31" s="601"/>
      <c r="F31" s="601"/>
      <c r="G31" s="667"/>
      <c r="H31" s="667"/>
      <c r="I31" s="667"/>
      <c r="J31" s="667"/>
      <c r="K31" s="691"/>
      <c r="L31" s="691"/>
      <c r="M31" s="691"/>
      <c r="N31" s="691"/>
      <c r="O31" s="691"/>
      <c r="P31" s="691"/>
      <c r="Q31" s="691"/>
      <c r="R31" s="691"/>
      <c r="S31" s="297"/>
      <c r="AD31" s="513">
        <v>0</v>
      </c>
    </row>
    <row customHeight="1" ht="24">
      <c r="A32" s="513"/>
      <c r="B32" s="513" t="s">
        <v>995</v>
      </c>
      <c r="C32" s="534"/>
      <c r="D32" s="700">
        <v>1</v>
      </c>
      <c r="E32" s="701" t="s">
        <v>996</v>
      </c>
      <c r="F32" s="699" t="s">
        <v>323</v>
      </c>
      <c r="G32" s="821" t="s">
        <v>323</v>
      </c>
      <c r="H32" s="821" t="s">
        <v>323</v>
      </c>
      <c r="I32" s="699" t="s">
        <v>323</v>
      </c>
      <c r="J32" s="699" t="s">
        <v>323</v>
      </c>
      <c r="K32" s="2284" t="s">
        <v>323</v>
      </c>
      <c r="L32" s="2284" t="s">
        <v>323</v>
      </c>
      <c r="M32" s="2284" t="s">
        <v>323</v>
      </c>
      <c r="N32" s="2284" t="s">
        <v>323</v>
      </c>
      <c r="O32" s="2284" t="s">
        <v>323</v>
      </c>
      <c r="P32" s="2284" t="s">
        <v>323</v>
      </c>
      <c r="Q32" s="2284" t="s">
        <v>323</v>
      </c>
      <c r="R32" s="2284" t="s">
        <v>323</v>
      </c>
      <c r="S32" s="297"/>
      <c r="AD32" s="513">
        <v>23</v>
      </c>
    </row>
    <row customHeight="1" ht="11.549999999999999">
      <c r="A33" s="513"/>
      <c r="C33" s="513"/>
      <c r="D33" s="355"/>
      <c r="E33" s="588" t="s">
        <v>604</v>
      </c>
      <c r="F33" s="580"/>
      <c r="G33" s="580"/>
      <c r="H33" s="580"/>
      <c r="I33" s="580"/>
      <c r="J33" s="580"/>
      <c r="K33" s="2695"/>
      <c r="L33" s="2696"/>
      <c r="M33" s="2697"/>
      <c r="N33" s="2698"/>
      <c r="O33" s="2699"/>
      <c r="P33" s="2700"/>
      <c r="Q33" s="2701"/>
      <c r="R33" s="2702"/>
      <c r="S33" s="581"/>
      <c r="AC33" s="513"/>
      <c r="AD33" s="513">
        <v>11</v>
      </c>
    </row>
    <row customHeight="1" ht="24">
      <c r="A34" s="513"/>
      <c r="B34" s="589" t="s">
        <v>658</v>
      </c>
      <c r="C34" s="534"/>
      <c r="D34" s="700">
        <v>2</v>
      </c>
      <c r="E34" s="701" t="s">
        <v>997</v>
      </c>
      <c r="F34" s="828" t="s">
        <v>323</v>
      </c>
      <c r="G34" s="828" t="s">
        <v>323</v>
      </c>
      <c r="H34" s="828" t="s">
        <v>323</v>
      </c>
      <c r="I34" s="699"/>
      <c r="J34" s="699"/>
      <c r="K34" s="2284" t="s">
        <v>323</v>
      </c>
      <c r="L34" s="2284" t="s">
        <v>323</v>
      </c>
      <c r="M34" s="2284" t="s">
        <v>323</v>
      </c>
      <c r="N34" s="2284" t="s">
        <v>323</v>
      </c>
      <c r="O34" s="2284" t="s">
        <v>323</v>
      </c>
      <c r="P34" s="2284" t="s">
        <v>323</v>
      </c>
      <c r="Q34" s="2284" t="s">
        <v>323</v>
      </c>
      <c r="R34" s="2284" t="s">
        <v>323</v>
      </c>
      <c r="S34" s="297"/>
      <c r="AD34" s="513">
        <v>23</v>
      </c>
    </row>
    <row customHeight="1" ht="11.549999999999999">
      <c r="A35" s="513"/>
      <c r="C35" s="513"/>
      <c r="D35" s="355"/>
      <c r="E35" s="588" t="s">
        <v>998</v>
      </c>
      <c r="F35" s="580"/>
      <c r="G35" s="702"/>
      <c r="H35" s="580"/>
      <c r="I35" s="702"/>
      <c r="J35" s="580"/>
      <c r="K35" s="2703"/>
      <c r="L35" s="2704"/>
      <c r="M35" s="2705"/>
      <c r="N35" s="2706"/>
      <c r="O35" s="2707"/>
      <c r="P35" s="2708"/>
      <c r="Q35" s="2709"/>
      <c r="R35" s="2710"/>
      <c r="S35" s="581"/>
      <c r="AC35" s="513"/>
      <c r="AD35" s="513">
        <v>11</v>
      </c>
    </row>
    <row customHeight="1" ht="71.25">
      <c r="A36" s="513"/>
      <c r="B36" s="513" t="s">
        <v>999</v>
      </c>
      <c r="C36" s="534"/>
      <c r="D36" s="700">
        <v>3</v>
      </c>
      <c r="E36" s="701" t="s">
        <v>1000</v>
      </c>
      <c r="F36" s="703" t="s">
        <v>323</v>
      </c>
      <c r="G36" s="822" t="s">
        <v>1001</v>
      </c>
      <c r="H36" s="821" t="s">
        <v>323</v>
      </c>
      <c r="I36" s="532" t="s">
        <v>1001</v>
      </c>
      <c r="J36" s="699" t="s">
        <v>323</v>
      </c>
      <c r="K36" s="2128" t="s">
        <v>1001</v>
      </c>
      <c r="L36" s="2284" t="s">
        <v>323</v>
      </c>
      <c r="M36" s="2128" t="s">
        <v>1001</v>
      </c>
      <c r="N36" s="2284" t="s">
        <v>323</v>
      </c>
      <c r="O36" s="2128" t="s">
        <v>1001</v>
      </c>
      <c r="P36" s="2284" t="s">
        <v>323</v>
      </c>
      <c r="Q36" s="2128" t="s">
        <v>1001</v>
      </c>
      <c r="R36" s="2284" t="s">
        <v>323</v>
      </c>
      <c r="S36" s="297" t="s">
        <v>1002</v>
      </c>
      <c r="AD36" s="513">
        <v>68</v>
      </c>
    </row>
    <row customHeight="1" ht="11.549999999999999">
      <c r="A37" s="513"/>
      <c r="C37" s="513"/>
      <c r="D37" s="355"/>
      <c r="E37" s="588" t="s">
        <v>1003</v>
      </c>
      <c r="F37" s="580"/>
      <c r="G37" s="702"/>
      <c r="H37" s="702"/>
      <c r="I37" s="702"/>
      <c r="J37" s="702"/>
      <c r="K37" s="2711"/>
      <c r="L37" s="2712"/>
      <c r="M37" s="2713"/>
      <c r="N37" s="2714"/>
      <c r="O37" s="2715"/>
      <c r="P37" s="2716"/>
      <c r="Q37" s="2717"/>
      <c r="R37" s="2718"/>
      <c r="S37" s="581"/>
      <c r="AC37" s="513"/>
      <c r="AD37" s="513">
        <v>11</v>
      </c>
    </row>
    <row customHeight="1" ht="71.25">
      <c r="A38" s="513"/>
      <c r="B38" s="513" t="s">
        <v>1004</v>
      </c>
      <c r="C38" s="534"/>
      <c r="D38" s="700">
        <v>4</v>
      </c>
      <c r="E38" s="701" t="s">
        <v>1005</v>
      </c>
      <c r="F38" s="703" t="s">
        <v>323</v>
      </c>
      <c r="G38" s="822" t="s">
        <v>1001</v>
      </c>
      <c r="H38" s="823" t="s">
        <v>323</v>
      </c>
      <c r="I38" s="532" t="s">
        <v>1001</v>
      </c>
      <c r="J38" s="529" t="s">
        <v>323</v>
      </c>
      <c r="K38" s="2128" t="s">
        <v>1001</v>
      </c>
      <c r="L38" s="2387" t="s">
        <v>323</v>
      </c>
      <c r="M38" s="2128" t="s">
        <v>1001</v>
      </c>
      <c r="N38" s="2387" t="s">
        <v>323</v>
      </c>
      <c r="O38" s="2128" t="s">
        <v>1001</v>
      </c>
      <c r="P38" s="2387" t="s">
        <v>323</v>
      </c>
      <c r="Q38" s="2128" t="s">
        <v>1001</v>
      </c>
      <c r="R38" s="2387" t="s">
        <v>323</v>
      </c>
      <c r="S38" s="687" t="s">
        <v>1006</v>
      </c>
      <c r="AD38" s="513">
        <v>68</v>
      </c>
    </row>
    <row customHeight="1" ht="11.549999999999999">
      <c r="A39" s="513"/>
      <c r="C39" s="513"/>
      <c r="D39" s="355"/>
      <c r="E39" s="588" t="s">
        <v>1007</v>
      </c>
      <c r="F39" s="580"/>
      <c r="G39" s="580"/>
      <c r="H39" s="704"/>
      <c r="I39" s="580"/>
      <c r="J39" s="704"/>
      <c r="K39" s="2719"/>
      <c r="L39" s="2720"/>
      <c r="M39" s="2721"/>
      <c r="N39" s="2722"/>
      <c r="O39" s="2723"/>
      <c r="P39" s="2724"/>
      <c r="Q39" s="2725"/>
      <c r="R39" s="2726"/>
      <c r="S39" s="581"/>
      <c r="AC39" s="513"/>
      <c r="AD39" s="513">
        <v>11</v>
      </c>
    </row>
    <row customHeight="1" ht="22.5" hidden="1">
      <c r="A40" s="457" t="s">
        <v>82</v>
      </c>
      <c r="B40" s="513">
        <v>0</v>
      </c>
      <c r="C40" s="691">
        <v>4</v>
      </c>
      <c r="D40" s="513">
        <v>6</v>
      </c>
      <c r="E40" s="513">
        <v>36</v>
      </c>
      <c r="F40" s="513">
        <v>9</v>
      </c>
      <c r="G40" s="766">
        <v>0</v>
      </c>
      <c r="H40" s="766">
        <v>0</v>
      </c>
      <c r="I40" s="513">
        <v>25</v>
      </c>
      <c r="J40" s="513">
        <v>33</v>
      </c>
      <c r="K40" s="1643">
        <v>0</v>
      </c>
      <c r="L40" s="1643">
        <v>0</v>
      </c>
      <c r="M40" s="1643">
        <v>0</v>
      </c>
      <c r="N40" s="1643">
        <v>0</v>
      </c>
      <c r="O40" s="1643">
        <v>0</v>
      </c>
      <c r="P40" s="1643">
        <v>0</v>
      </c>
      <c r="Q40" s="1643">
        <v>0</v>
      </c>
      <c r="R40" s="1643">
        <v>0</v>
      </c>
      <c r="S40" s="425">
        <v>93</v>
      </c>
      <c r="T40" s="513">
        <v>10</v>
      </c>
      <c r="U40" s="513">
        <v>10</v>
      </c>
      <c r="V40" s="513">
        <v>10</v>
      </c>
      <c r="W40" s="513">
        <v>10</v>
      </c>
      <c r="X40" s="513">
        <v>10</v>
      </c>
      <c r="Y40" s="513">
        <v>10</v>
      </c>
      <c r="Z40" s="513">
        <v>10</v>
      </c>
      <c r="AA40" s="513">
        <v>10</v>
      </c>
      <c r="AB40" s="513">
        <v>10</v>
      </c>
      <c r="AC40" s="683">
        <v>10</v>
      </c>
      <c r="AD40" s="513">
        <v>23</v>
      </c>
    </row>
  </sheetData>
  <sheetProtection sheet="1" formatColumns="0" formatRows="0" autoFilter="0" sort="1" insertRows="1" insertColumns="1" deleteRows="1" deleteColumns="1"/>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Для выбора выполните двойной щелчок левой клавиши мыши по ячейке." sqref="I36 G38 I38 G36 K36 K38 M36 M38 O36 O38 Q36 Q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F6BCF-8743-6DD2-C407-971A9D180DF3}" mc:Ignorable="x14ac xr xr2 xr3">
  <sheetPr>
    <tabColor theme="9" tint="-0.25"/>
  </sheetPr>
  <dimension ref="A1:AE18"/>
  <sheetViews>
    <sheetView showGridLines="0" workbookViewId="0">
      <pane xSplit="7" ySplit="10" topLeftCell="L13" activePane="bottomRight" state="frozen"/>
      <selection pane="bottomLeft" activeCell="A11" sqref="A11"/>
      <selection pane="topRight" activeCell="H1" sqref="H1"/>
      <selection pane="bottomRight" activeCell="Q13" sqref="Q13:Q14"/>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10.281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1008</v>
      </c>
      <c r="H3" s="1164"/>
      <c r="AE3" s="767">
        <v>0</v>
      </c>
    </row>
    <row customHeight="1" ht="3">
      <c r="AE4" s="766">
        <v>3</v>
      </c>
    </row>
    <row customHeight="1" ht="27.299999999999997">
      <c r="F5" s="22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9"/>
      <c r="H5" s="2269"/>
      <c r="I5" s="2269"/>
      <c r="J5" s="2269"/>
      <c r="K5" s="2269"/>
      <c r="M5" s="590"/>
      <c r="AB5" s="914"/>
      <c r="AE5" s="766">
        <v>26</v>
      </c>
    </row>
    <row s="1643" customFormat="1" customHeight="1" ht="16.8">
      <c r="A6" s="1174"/>
      <c r="B6" s="1174"/>
      <c r="C6" s="1174"/>
      <c r="D6" s="1168"/>
      <c r="E6" s="1643"/>
      <c r="F6" s="2270" t="str">
        <f>IF(org=0,"Не определено",org)</f>
        <v>АО "ДГК"</v>
      </c>
      <c r="G6" s="2270"/>
      <c r="H6" s="2270"/>
      <c r="I6" s="2270"/>
      <c r="J6" s="2270"/>
      <c r="K6" s="2270"/>
      <c r="M6" s="590"/>
      <c r="AB6" s="1156"/>
      <c r="AE6" s="1639">
        <v>16</v>
      </c>
    </row>
    <row customHeight="1" ht="10.5">
      <c r="AE7" s="766">
        <v>10</v>
      </c>
    </row>
    <row customHeight="1" ht="10.5">
      <c r="A8" s="1059"/>
      <c r="B8" s="1059"/>
      <c r="C8" s="1059"/>
      <c r="F8" s="2122" t="s">
        <v>317</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6">
        <v>10</v>
      </c>
    </row>
    <row customHeight="1" ht="43.050000000000004">
      <c r="A9" s="913"/>
      <c r="B9" s="913"/>
      <c r="C9" s="913"/>
      <c r="F9" s="2148" t="s">
        <v>88</v>
      </c>
      <c r="G9" s="2148" t="s">
        <v>1008</v>
      </c>
      <c r="H9" s="2196" t="s">
        <v>1009</v>
      </c>
      <c r="I9" s="2148" t="s">
        <v>1010</v>
      </c>
      <c r="J9" s="2148" t="s">
        <v>1011</v>
      </c>
      <c r="K9" s="2148" t="s">
        <v>1012</v>
      </c>
      <c r="L9" s="2148" t="s">
        <v>1013</v>
      </c>
      <c r="M9" s="2148" t="s">
        <v>1014</v>
      </c>
      <c r="N9" s="2230" t="s">
        <v>1015</v>
      </c>
      <c r="O9" s="2230"/>
      <c r="P9" s="2230"/>
      <c r="Q9" s="2420" t="s">
        <v>1016</v>
      </c>
      <c r="R9" s="2421"/>
      <c r="S9" s="2421"/>
      <c r="T9" s="2422"/>
      <c r="U9" s="2420" t="s">
        <v>1017</v>
      </c>
      <c r="V9" s="2421"/>
      <c r="W9" s="2421"/>
      <c r="X9" s="2422"/>
      <c r="Y9" s="2122" t="s">
        <v>1018</v>
      </c>
      <c r="Z9" s="2123"/>
      <c r="AA9" s="2123"/>
      <c r="AB9" s="2124"/>
      <c r="AE9" s="766">
        <v>41</v>
      </c>
    </row>
    <row customHeight="1" ht="43.050000000000004">
      <c r="A10" s="913"/>
      <c r="B10" s="913"/>
      <c r="C10" s="913"/>
      <c r="F10" s="2196"/>
      <c r="G10" s="2196"/>
      <c r="H10" s="2253"/>
      <c r="I10" s="2196"/>
      <c r="J10" s="2196"/>
      <c r="K10" s="2196"/>
      <c r="L10" s="2196"/>
      <c r="M10" s="2196"/>
      <c r="N10" s="911" t="s">
        <v>1019</v>
      </c>
      <c r="O10" s="911" t="s">
        <v>1020</v>
      </c>
      <c r="P10" s="912" t="s">
        <v>1021</v>
      </c>
      <c r="Q10" s="923" t="s">
        <v>89</v>
      </c>
      <c r="R10" s="923" t="s">
        <v>1022</v>
      </c>
      <c r="S10" s="923" t="s">
        <v>1023</v>
      </c>
      <c r="T10" s="924" t="s">
        <v>1024</v>
      </c>
      <c r="U10" s="923" t="s">
        <v>89</v>
      </c>
      <c r="V10" s="923" t="s">
        <v>1025</v>
      </c>
      <c r="W10" s="923" t="s">
        <v>1023</v>
      </c>
      <c r="X10" s="924" t="s">
        <v>1024</v>
      </c>
      <c r="Y10" s="309" t="s">
        <v>1026</v>
      </c>
      <c r="Z10" s="2122" t="s">
        <v>88</v>
      </c>
      <c r="AA10" s="2124"/>
      <c r="AB10" s="1057" t="s">
        <v>1027</v>
      </c>
      <c r="AE10" s="766">
        <v>41</v>
      </c>
    </row>
    <row s="1650" customFormat="1" customHeight="1" ht="5.25" hidden="1">
      <c r="A11" s="1060"/>
      <c r="B11" s="1060"/>
      <c r="C11" s="1060"/>
      <c r="E11" s="1058"/>
      <c r="F11" s="2427" t="s">
        <v>393</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9" t="s">
        <v>1028</v>
      </c>
      <c r="AE11" s="519">
        <v>0</v>
      </c>
    </row>
    <row s="1650" customFormat="1" customHeight="1" ht="5.25" hidden="1">
      <c r="A12" s="904"/>
      <c r="B12" s="904"/>
      <c r="C12" s="904"/>
      <c r="E12" s="526"/>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9">
        <v>0</v>
      </c>
    </row>
    <row customHeight="1" ht="55.5">
      <c r="A13" s="1174"/>
      <c r="B13" s="1174"/>
      <c r="C13" s="1174"/>
      <c r="D13" s="1168"/>
      <c r="E13" s="691" t="s">
        <v>103</v>
      </c>
      <c r="F13" s="2602" t="s">
        <v>118</v>
      </c>
      <c r="G13" s="2603" t="s">
        <v>1029</v>
      </c>
      <c r="H13" s="2604" t="s">
        <v>61</v>
      </c>
      <c r="I13" s="2606">
        <v>45288.579409722224</v>
      </c>
      <c r="J13" s="2569">
        <v>45649.579675925925</v>
      </c>
      <c r="K13" s="2608" t="s">
        <v>1030</v>
      </c>
      <c r="L13" s="2571" t="s">
        <v>1031</v>
      </c>
      <c r="M13" s="2571" t="s">
        <v>1032</v>
      </c>
      <c r="N13" s="2572" t="s">
        <v>1033</v>
      </c>
      <c r="O13" s="2572" t="s">
        <v>1034</v>
      </c>
      <c r="P13" s="2573" t="str">
        <f>DATEDIF(DATEVALUE(N13),DATEVALUE(O13),"y")&amp;"г. "&amp;DATEDIF(DATEVALUE(N13),DATEVALUE(O13),"ym")&amp;"мес. "&amp;DATEVALUE(O13)-DATE(YEAR(DATEVALUE(O13)),MONTH(DATEVALUE(O13)),1)&amp;"дн. "</f>
        <v>4г. 1мес. 30дн. </v>
      </c>
      <c r="Q13" s="2568" t="s">
        <v>1035</v>
      </c>
      <c r="R13" s="2568" t="s">
        <v>1036</v>
      </c>
      <c r="S13" s="2568" t="s">
        <v>1037</v>
      </c>
      <c r="T13" s="2569">
        <v>45288</v>
      </c>
      <c r="U13" s="2568" t="s">
        <v>1038</v>
      </c>
      <c r="V13" s="2568" t="s">
        <v>1036</v>
      </c>
      <c r="W13" s="2568" t="s">
        <v>1039</v>
      </c>
      <c r="X13" s="2569">
        <v>45649</v>
      </c>
      <c r="Y13" s="2566" t="s">
        <v>19</v>
      </c>
      <c r="Z13" s="1815"/>
      <c r="AA13" s="1799">
        <v>1</v>
      </c>
      <c r="AB13" s="2732" t="s">
        <v>22</v>
      </c>
      <c r="AC13" s="1643"/>
      <c r="AD13" s="1644" t="s">
        <v>1040</v>
      </c>
      <c r="AE13" s="1643"/>
    </row>
    <row customHeight="1" ht="149.25">
      <c r="A14" s="1174"/>
      <c r="B14" s="1174"/>
      <c r="C14" s="1174"/>
      <c r="D14" s="1168"/>
      <c r="E14" s="955"/>
      <c r="F14" s="2602" t="s">
        <v>393</v>
      </c>
      <c r="G14" s="2603"/>
      <c r="H14" s="2605"/>
      <c r="I14" s="2607"/>
      <c r="J14" s="2570"/>
      <c r="K14" s="2608"/>
      <c r="L14" s="2571"/>
      <c r="M14" s="2571"/>
      <c r="N14" s="2572"/>
      <c r="O14" s="2572"/>
      <c r="P14" s="2573"/>
      <c r="Q14" s="2568"/>
      <c r="R14" s="2568"/>
      <c r="S14" s="2568"/>
      <c r="T14" s="2570"/>
      <c r="U14" s="2568"/>
      <c r="V14" s="2568"/>
      <c r="W14" s="2568"/>
      <c r="X14" s="2570"/>
      <c r="Y14" s="2567"/>
      <c r="Z14" s="355"/>
      <c r="AA14" s="580"/>
      <c r="AB14" s="660" t="s">
        <v>1041</v>
      </c>
      <c r="AC14" s="1643"/>
      <c r="AD14" s="1643"/>
      <c r="AE14" s="1643"/>
    </row>
    <row customHeight="1" ht="10.5">
      <c r="F15" s="910"/>
      <c r="G15" s="658" t="s">
        <v>1042</v>
      </c>
      <c r="H15" s="1176"/>
      <c r="I15" s="580"/>
      <c r="J15" s="580"/>
      <c r="K15" s="580"/>
      <c r="L15" s="580"/>
      <c r="M15" s="580"/>
      <c r="N15" s="580"/>
      <c r="O15" s="580"/>
      <c r="P15" s="580"/>
      <c r="Q15" s="580"/>
      <c r="R15" s="580"/>
      <c r="S15" s="580"/>
      <c r="T15" s="580"/>
      <c r="U15" s="580"/>
      <c r="V15" s="580"/>
      <c r="W15" s="580"/>
      <c r="X15" s="580"/>
      <c r="Y15" s="580"/>
      <c r="Z15" s="704"/>
      <c r="AA15" s="704"/>
      <c r="AB15" s="925"/>
      <c r="AE15" s="766">
        <v>10</v>
      </c>
    </row>
    <row customHeight="1" ht="10.5">
      <c r="AE16" s="766">
        <v>10</v>
      </c>
    </row>
    <row s="1650" customFormat="1" customHeight="1" ht="10.5">
      <c r="A17" s="1175"/>
      <c r="B17" s="1175"/>
      <c r="C17" s="1175"/>
      <c r="E17" s="526"/>
      <c r="H17" s="519">
        <f>_xlfn.IFERROR(MATCH("нет",IP_MAIN_DIFFERENTIATION_EVENTS_FLAG,0),0)</f>
        <v>0</v>
      </c>
      <c r="AE17" s="519">
        <v>10</v>
      </c>
    </row>
    <row customHeight="1" ht="10.5" hidden="1">
      <c r="A18" s="903" t="s">
        <v>82</v>
      </c>
      <c r="B18" s="903">
        <v>0</v>
      </c>
      <c r="C18" s="903">
        <v>0</v>
      </c>
      <c r="D18" s="425">
        <v>0</v>
      </c>
      <c r="E18" s="517">
        <v>3</v>
      </c>
      <c r="F18" s="766">
        <v>6</v>
      </c>
      <c r="G18" s="766">
        <v>37</v>
      </c>
      <c r="H18" s="1163">
        <v>16</v>
      </c>
      <c r="I18" s="766">
        <v>19</v>
      </c>
      <c r="J18" s="766">
        <v>19</v>
      </c>
      <c r="K18" s="766">
        <v>24</v>
      </c>
      <c r="L18" s="766">
        <v>25</v>
      </c>
      <c r="M18" s="766">
        <v>25</v>
      </c>
      <c r="N18" s="766">
        <v>17</v>
      </c>
      <c r="O18" s="766">
        <v>17</v>
      </c>
      <c r="P18" s="766">
        <v>17</v>
      </c>
      <c r="Q18" s="766">
        <v>19</v>
      </c>
      <c r="R18" s="766">
        <v>19</v>
      </c>
      <c r="S18" s="766">
        <v>19</v>
      </c>
      <c r="T18" s="766">
        <v>19</v>
      </c>
      <c r="U18" s="766">
        <v>19</v>
      </c>
      <c r="V18" s="766">
        <v>19</v>
      </c>
      <c r="W18" s="766">
        <v>19</v>
      </c>
      <c r="X18" s="766">
        <v>19</v>
      </c>
      <c r="Y18" s="766">
        <v>7</v>
      </c>
      <c r="Z18" s="766">
        <v>3</v>
      </c>
      <c r="AA18" s="766">
        <v>6</v>
      </c>
      <c r="AB18" s="766">
        <v>34</v>
      </c>
      <c r="AC18" s="766">
        <v>8</v>
      </c>
      <c r="AD18" s="766">
        <v>8</v>
      </c>
      <c r="AE18" s="766">
        <v>10</v>
      </c>
    </row>
  </sheetData>
  <sheetProtection sheet="1" formatColumns="0" formatRows="0" autoFilter="0" sort="1" insertRows="1" insertColumns="1" deleteRows="1" deleteColumns="1"/>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EDF2F-12A3-A7E9-C34C-31957200D43C}" mc:Ignorable="x14ac xr xr2 xr3">
  <sheetPr>
    <tabColor theme="9" tint="-0.25"/>
  </sheetPr>
  <dimension ref="A1:BG398"/>
  <sheetViews>
    <sheetView showGridLines="0" zoomScale="90" workbookViewId="0">
      <pane xSplit="8" ySplit="12" topLeftCell="I89" activePane="bottomRight" state="frozen"/>
      <selection pane="bottomLeft" activeCell="A13" sqref="A13"/>
      <selection pane="topRight" activeCell="I1" sqref="I1"/>
      <selection pane="bottomRight" activeCell="O89" sqref="O89:O9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57.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customWidth="1"/>
    <col min="31" max="31" style="1643" width="15.7109375" customWidth="1"/>
    <col min="32" max="34" style="1643" width="16.00390625" customWidth="1"/>
    <col min="35" max="35" style="1643" width="16.7109375" customWidth="1"/>
    <col min="36" max="37" style="1643" width="13.00390625"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6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9"/>
      <c r="H5" s="2269"/>
      <c r="I5" s="2269"/>
      <c r="J5" s="2269"/>
      <c r="K5" s="2269"/>
      <c r="L5" s="1143"/>
      <c r="M5" s="1143"/>
      <c r="AG5" s="914"/>
      <c r="AH5" s="1156"/>
      <c r="BG5" s="766">
        <v>26</v>
      </c>
    </row>
    <row customHeight="1" ht="10.5">
      <c r="F6" s="2197" t="str">
        <f>IF(org=0,"Не определено",org)</f>
        <v>АО "ДГК"</v>
      </c>
      <c r="G6" s="2197"/>
      <c r="H6" s="2197"/>
      <c r="I6" s="2197"/>
      <c r="J6" s="2197"/>
      <c r="K6" s="2197"/>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36" t="s">
        <v>317</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29" t="s">
        <v>1043</v>
      </c>
      <c r="G9" s="2430" t="s">
        <v>1044</v>
      </c>
      <c r="H9" s="2431"/>
      <c r="I9" s="2148" t="s">
        <v>1045</v>
      </c>
      <c r="J9" s="2148"/>
      <c r="K9" s="2148" t="s">
        <v>1046</v>
      </c>
      <c r="L9" s="2148"/>
      <c r="M9" s="2148"/>
      <c r="N9" s="2148"/>
      <c r="O9" s="2148"/>
      <c r="P9" s="2148"/>
      <c r="Q9" s="2148"/>
      <c r="R9" s="2148"/>
      <c r="S9" s="2148"/>
      <c r="T9" s="2148"/>
      <c r="U9" s="2148"/>
      <c r="V9" s="2148"/>
      <c r="W9" s="2148"/>
      <c r="X9" s="2148"/>
      <c r="Y9" s="2148"/>
      <c r="Z9" s="2213" t="s">
        <v>1047</v>
      </c>
      <c r="AA9" s="2214"/>
      <c r="AB9" s="2148" t="s">
        <v>1048</v>
      </c>
      <c r="AC9" s="2148"/>
      <c r="AD9" s="2148"/>
      <c r="AE9" s="2148"/>
      <c r="AF9" s="2196" t="s">
        <v>1049</v>
      </c>
      <c r="AG9" s="2148" t="s">
        <v>1050</v>
      </c>
      <c r="AH9" s="2148"/>
      <c r="AI9" s="2196" t="s">
        <v>1051</v>
      </c>
      <c r="AJ9" s="2148" t="s">
        <v>1052</v>
      </c>
      <c r="AK9" s="2148"/>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29"/>
      <c r="G10" s="2432"/>
      <c r="H10" s="2433"/>
      <c r="I10" s="2148"/>
      <c r="J10" s="2148"/>
      <c r="K10" s="2148" t="s">
        <v>1053</v>
      </c>
      <c r="L10" s="2122" t="s">
        <v>1054</v>
      </c>
      <c r="M10" s="2124"/>
      <c r="N10" s="2148" t="s">
        <v>1055</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29"/>
      <c r="G11" s="2432"/>
      <c r="H11" s="2433"/>
      <c r="I11" s="2148"/>
      <c r="J11" s="2148"/>
      <c r="K11" s="2148"/>
      <c r="L11" s="2196" t="s">
        <v>1056</v>
      </c>
      <c r="M11" s="2196" t="s">
        <v>1057</v>
      </c>
      <c r="N11" s="2148" t="s">
        <v>1058</v>
      </c>
      <c r="O11" s="2148"/>
      <c r="P11" s="2439" t="s">
        <v>1026</v>
      </c>
      <c r="Q11" s="2439" t="s">
        <v>1059</v>
      </c>
      <c r="R11" s="2439" t="s">
        <v>1060</v>
      </c>
      <c r="S11" s="2439" t="s">
        <v>1061</v>
      </c>
      <c r="T11" s="2439"/>
      <c r="U11" s="2439"/>
      <c r="V11" s="2439"/>
      <c r="W11" s="2439"/>
      <c r="X11" s="2439"/>
      <c r="Y11" s="2439"/>
      <c r="Z11" s="2215"/>
      <c r="AA11" s="2216"/>
      <c r="AB11" s="2148" t="s">
        <v>1062</v>
      </c>
      <c r="AC11" s="2148"/>
      <c r="AD11" s="2122" t="s">
        <v>1063</v>
      </c>
      <c r="AE11" s="2124"/>
      <c r="AF11" s="2220"/>
      <c r="AG11" s="2148"/>
      <c r="AH11" s="2148"/>
      <c r="AI11" s="2220"/>
      <c r="AJ11" s="2148"/>
      <c r="AK11" s="2148"/>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29"/>
      <c r="G12" s="2434"/>
      <c r="H12" s="2435"/>
      <c r="I12" s="1161" t="s">
        <v>89</v>
      </c>
      <c r="J12" s="1161" t="s">
        <v>1064</v>
      </c>
      <c r="K12" s="2148"/>
      <c r="L12" s="2253"/>
      <c r="M12" s="2253"/>
      <c r="N12" s="2148"/>
      <c r="O12" s="2148"/>
      <c r="P12" s="2439"/>
      <c r="Q12" s="2439"/>
      <c r="R12" s="2439"/>
      <c r="S12" s="1142" t="s">
        <v>86</v>
      </c>
      <c r="T12" s="1142" t="s">
        <v>87</v>
      </c>
      <c r="U12" s="1142" t="s">
        <v>85</v>
      </c>
      <c r="V12" s="1142" t="s">
        <v>1065</v>
      </c>
      <c r="W12" s="1142" t="s">
        <v>85</v>
      </c>
      <c r="X12" s="1142" t="s">
        <v>1066</v>
      </c>
      <c r="Y12" s="1142" t="s">
        <v>1067</v>
      </c>
      <c r="Z12" s="2221"/>
      <c r="AA12" s="2222"/>
      <c r="AB12" s="1149" t="s">
        <v>1068</v>
      </c>
      <c r="AC12" s="1149" t="s">
        <v>1069</v>
      </c>
      <c r="AD12" s="1149" t="s">
        <v>1068</v>
      </c>
      <c r="AE12" s="1149" t="s">
        <v>1069</v>
      </c>
      <c r="AF12" s="2253"/>
      <c r="AG12" s="1162" t="s">
        <v>1070</v>
      </c>
      <c r="AH12" s="1162" t="s">
        <v>1071</v>
      </c>
      <c r="AI12" s="2253"/>
      <c r="AJ12" s="1162" t="s">
        <v>1070</v>
      </c>
      <c r="AK12" s="1162" t="s">
        <v>1071</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21">
      <c r="A14" s="1175" t="s">
        <v>1040</v>
      </c>
      <c r="B14" s="1174"/>
      <c r="C14" s="1174"/>
      <c r="D14" s="1168"/>
      <c r="E14" s="1178" t="s">
        <v>22</v>
      </c>
      <c r="F14" s="1130" t="str">
        <f>INDEX(IP_MAIN_LIST_NAME_IP,MATCH(A14,IP_MAIN_LIST_IP_ID,0))&amp;" ("&amp;INDEX(IP_MAIN_START_DATE,MATCH(A14,IP_MAIN_LIST_IP_ID,0))&amp;"-"&amp;INDEX(IP_MAIN_END_DATE,MATCH(A14,IP_MAIN_LIST_IP_ID,0))&amp;")"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(23.12.2024-31.01.2029)</v>
      </c>
      <c r="G14" s="1131"/>
      <c r="H14" s="1131"/>
      <c r="I14" s="1193"/>
      <c r="J14" s="1193"/>
      <c r="K14" s="1194"/>
      <c r="L14" s="1194"/>
      <c r="M14" s="1194"/>
      <c r="N14" s="1195"/>
      <c r="O14" s="1195"/>
      <c r="P14" s="1195"/>
      <c r="Q14" s="1195"/>
      <c r="R14" s="1195"/>
      <c r="S14" s="1195"/>
      <c r="T14" s="1195"/>
      <c r="U14" s="1195"/>
      <c r="V14" s="1195"/>
      <c r="W14" s="1195"/>
      <c r="X14" s="1195"/>
      <c r="Y14" s="1195"/>
      <c r="Z14" s="1195"/>
      <c r="AA14" s="1195"/>
      <c r="AB14" s="1195"/>
      <c r="AC14" s="1195"/>
      <c r="AD14" s="1195"/>
      <c r="AE14" s="1196"/>
      <c r="AF14" s="1194"/>
      <c r="AG14" s="1194"/>
      <c r="AH14" s="1194"/>
      <c r="AI14" s="1194"/>
      <c r="AJ14" s="1194"/>
      <c r="AK14" s="1194"/>
      <c r="AL14" s="1993"/>
      <c r="AM14" s="1830"/>
      <c r="AN14" s="1830"/>
      <c r="AO14" s="1830"/>
      <c r="AP14" s="1830"/>
      <c r="AQ14" s="1830"/>
      <c r="AR14" s="1830"/>
      <c r="AS14" s="1830"/>
      <c r="AT14" s="1830"/>
      <c r="AU14" s="1830"/>
      <c r="AV14" s="1830"/>
      <c r="AW14" s="1830"/>
      <c r="AX14" s="1830"/>
      <c r="AY14" s="1830"/>
      <c r="AZ14" s="1830"/>
      <c r="BA14" s="1830"/>
      <c r="BB14" s="1830"/>
      <c r="BC14" s="1830"/>
      <c r="BD14" s="1830"/>
      <c r="BE14" s="1830"/>
      <c r="BF14" s="1830"/>
      <c r="BG14" s="1643"/>
    </row>
    <row customHeight="1" ht="0.75">
      <c r="A15" s="1174" t="s">
        <v>1040</v>
      </c>
      <c r="B15" s="1174"/>
      <c r="C15" s="1174"/>
      <c r="D15" s="1168"/>
      <c r="E15" s="1178"/>
      <c r="F15" s="2557">
        <v>2024</v>
      </c>
      <c r="G15" s="2536"/>
      <c r="H15" s="2561" t="s">
        <v>393</v>
      </c>
      <c r="I15" s="2562"/>
      <c r="J15" s="2563"/>
      <c r="K15" s="2563"/>
      <c r="L15" s="2555"/>
      <c r="M15" s="2289"/>
      <c r="N15" s="2041"/>
      <c r="O15" s="2040"/>
      <c r="P15" s="2041"/>
      <c r="Q15" s="2041"/>
      <c r="R15" s="2041"/>
      <c r="S15" s="2041"/>
      <c r="T15" s="2041"/>
      <c r="U15" s="2041"/>
      <c r="V15" s="2041"/>
      <c r="W15" s="2041"/>
      <c r="X15" s="2041"/>
      <c r="Y15" s="2041"/>
      <c r="Z15" s="2041"/>
      <c r="AA15" s="2041"/>
      <c r="AB15" s="2041"/>
      <c r="AC15" s="2041"/>
      <c r="AD15" s="2041"/>
      <c r="AE15" s="2041"/>
      <c r="AF15" s="2559"/>
      <c r="AG15" s="2555"/>
      <c r="AH15" s="2555"/>
      <c r="AI15" s="2559"/>
      <c r="AJ15" s="2555"/>
      <c r="AK15" s="2555"/>
      <c r="AL15" s="1993"/>
      <c r="AM15" s="1830"/>
      <c r="AN15" s="1830"/>
      <c r="AO15" s="1830"/>
      <c r="AP15" s="1830"/>
      <c r="AQ15" s="1830"/>
      <c r="AR15" s="1830"/>
      <c r="AS15" s="1830"/>
      <c r="AT15" s="1830"/>
      <c r="AU15" s="1830"/>
      <c r="AV15" s="1830"/>
      <c r="AW15" s="1830"/>
      <c r="AX15" s="1830"/>
      <c r="AY15" s="1830"/>
      <c r="AZ15" s="1830"/>
      <c r="BA15" s="1830"/>
      <c r="BB15" s="1830"/>
      <c r="BC15" s="1830"/>
      <c r="BD15" s="1830"/>
      <c r="BE15" s="1830"/>
      <c r="BF15" s="1830"/>
      <c r="BG15" s="1643"/>
    </row>
    <row customHeight="1" ht="0.75">
      <c r="A16" s="1174" t="s">
        <v>1040</v>
      </c>
      <c r="B16" s="1174"/>
      <c r="C16" s="1174"/>
      <c r="D16" s="1168"/>
      <c r="E16" s="1178"/>
      <c r="F16" s="2557"/>
      <c r="G16" s="2536"/>
      <c r="H16" s="2561"/>
      <c r="I16" s="2562"/>
      <c r="J16" s="2563"/>
      <c r="K16" s="2563"/>
      <c r="L16" s="2555"/>
      <c r="M16" s="2289"/>
      <c r="N16" s="2564"/>
      <c r="O16" s="2565"/>
      <c r="P16" s="2609"/>
      <c r="Q16" s="2560"/>
      <c r="R16" s="2560"/>
      <c r="S16" s="2560"/>
      <c r="T16" s="2560"/>
      <c r="U16" s="2560"/>
      <c r="V16" s="2560"/>
      <c r="W16" s="2560"/>
      <c r="X16" s="2560"/>
      <c r="Y16" s="2560"/>
      <c r="Z16" s="2042"/>
      <c r="AA16" s="2043"/>
      <c r="AB16" s="2043"/>
      <c r="AC16" s="2044"/>
      <c r="AD16" s="2044"/>
      <c r="AE16" s="2045"/>
      <c r="AF16" s="2559"/>
      <c r="AG16" s="2555"/>
      <c r="AH16" s="2555"/>
      <c r="AI16" s="2559"/>
      <c r="AJ16" s="2555"/>
      <c r="AK16" s="2555"/>
      <c r="AL16" s="1993"/>
      <c r="AM16" s="1830"/>
      <c r="AN16" s="1830"/>
      <c r="AO16" s="1830"/>
      <c r="AP16" s="1830"/>
      <c r="AQ16" s="1830"/>
      <c r="AR16" s="1830"/>
      <c r="AS16" s="1830"/>
      <c r="AT16" s="1830"/>
      <c r="AU16" s="1830"/>
      <c r="AV16" s="1830"/>
      <c r="AW16" s="1830"/>
      <c r="AX16" s="1830"/>
      <c r="AY16" s="1830"/>
      <c r="AZ16" s="1830"/>
      <c r="BA16" s="1830"/>
      <c r="BB16" s="1830"/>
      <c r="BC16" s="1830"/>
      <c r="BD16" s="1830"/>
      <c r="BE16" s="1830"/>
      <c r="BF16" s="1830"/>
      <c r="BG16" s="1643"/>
    </row>
    <row customHeight="1" ht="0.75">
      <c r="A17" s="1174" t="s">
        <v>1040</v>
      </c>
      <c r="B17" s="1174"/>
      <c r="C17" s="1174"/>
      <c r="D17" s="1168"/>
      <c r="E17" s="1178"/>
      <c r="F17" s="2557"/>
      <c r="G17" s="2536"/>
      <c r="H17" s="2561"/>
      <c r="I17" s="2562"/>
      <c r="J17" s="2563"/>
      <c r="K17" s="2563"/>
      <c r="L17" s="2555"/>
      <c r="M17" s="2289"/>
      <c r="N17" s="2564"/>
      <c r="O17" s="2565"/>
      <c r="P17" s="2610"/>
      <c r="Q17" s="2560"/>
      <c r="R17" s="2560"/>
      <c r="S17" s="2560"/>
      <c r="T17" s="2560"/>
      <c r="U17" s="2560"/>
      <c r="V17" s="2560"/>
      <c r="W17" s="2560"/>
      <c r="X17" s="2560"/>
      <c r="Y17" s="2560"/>
      <c r="Z17" s="2046"/>
      <c r="AA17" s="2047"/>
      <c r="AB17" s="2048"/>
      <c r="AC17" s="2049"/>
      <c r="AD17" s="2048"/>
      <c r="AE17" s="2049"/>
      <c r="AF17" s="2559"/>
      <c r="AG17" s="2555"/>
      <c r="AH17" s="2555"/>
      <c r="AI17" s="2559"/>
      <c r="AJ17" s="2555"/>
      <c r="AK17" s="2555"/>
      <c r="AL17" s="1993"/>
      <c r="AM17" s="1830"/>
      <c r="AN17" s="1830"/>
      <c r="AO17" s="1830"/>
      <c r="AP17" s="1830"/>
      <c r="AQ17" s="1830"/>
      <c r="AR17" s="1830"/>
      <c r="AS17" s="1830"/>
      <c r="AT17" s="1830"/>
      <c r="AU17" s="1830"/>
      <c r="AV17" s="1830"/>
      <c r="AW17" s="1830"/>
      <c r="AX17" s="1830"/>
      <c r="AY17" s="1830"/>
      <c r="AZ17" s="1830"/>
      <c r="BA17" s="1830"/>
      <c r="BB17" s="1830"/>
      <c r="BC17" s="1830"/>
      <c r="BD17" s="1830"/>
      <c r="BE17" s="1830"/>
      <c r="BF17" s="1830"/>
      <c r="BG17" s="1643"/>
    </row>
    <row customHeight="1" ht="0.75">
      <c r="A18" s="1174" t="s">
        <v>1040</v>
      </c>
      <c r="B18" s="1174"/>
      <c r="C18" s="1174"/>
      <c r="D18" s="1168"/>
      <c r="E18" s="1178"/>
      <c r="F18" s="2557"/>
      <c r="G18" s="2536"/>
      <c r="H18" s="2561"/>
      <c r="I18" s="2562"/>
      <c r="J18" s="2563"/>
      <c r="K18" s="2563"/>
      <c r="L18" s="2555"/>
      <c r="M18" s="2289"/>
      <c r="N18" s="2564"/>
      <c r="O18" s="2565"/>
      <c r="P18" s="2611"/>
      <c r="Q18" s="2560"/>
      <c r="R18" s="2560"/>
      <c r="S18" s="2560"/>
      <c r="T18" s="2560"/>
      <c r="U18" s="2560"/>
      <c r="V18" s="2560"/>
      <c r="W18" s="2560"/>
      <c r="X18" s="2560"/>
      <c r="Y18" s="2560"/>
      <c r="Z18" s="2042"/>
      <c r="AA18" s="2043"/>
      <c r="AB18" s="2050"/>
      <c r="AC18" s="2044"/>
      <c r="AD18" s="2044"/>
      <c r="AE18" s="2051"/>
      <c r="AF18" s="2559"/>
      <c r="AG18" s="2555"/>
      <c r="AH18" s="2555"/>
      <c r="AI18" s="2559"/>
      <c r="AJ18" s="2555"/>
      <c r="AK18" s="2555"/>
      <c r="AL18" s="1993"/>
      <c r="AM18" s="1830"/>
      <c r="AN18" s="1830"/>
      <c r="AO18" s="1830"/>
      <c r="AP18" s="1830"/>
      <c r="AQ18" s="1830"/>
      <c r="AR18" s="1830"/>
      <c r="AS18" s="1830"/>
      <c r="AT18" s="1830"/>
      <c r="AU18" s="1830"/>
      <c r="AV18" s="1830"/>
      <c r="AW18" s="1830"/>
      <c r="AX18" s="1830"/>
      <c r="AY18" s="1830"/>
      <c r="AZ18" s="1830"/>
      <c r="BA18" s="1830"/>
      <c r="BB18" s="1830"/>
      <c r="BC18" s="1830"/>
      <c r="BD18" s="1830"/>
      <c r="BE18" s="1830"/>
      <c r="BF18" s="1830"/>
      <c r="BG18" s="1643"/>
    </row>
    <row customHeight="1" ht="0.75">
      <c r="A19" s="1174" t="s">
        <v>1040</v>
      </c>
      <c r="B19" s="1174"/>
      <c r="C19" s="1174"/>
      <c r="D19" s="1168"/>
      <c r="E19" s="1178"/>
      <c r="F19" s="2557"/>
      <c r="G19" s="2536"/>
      <c r="H19" s="2561"/>
      <c r="I19" s="2562"/>
      <c r="J19" s="2563"/>
      <c r="K19" s="2563"/>
      <c r="L19" s="2555"/>
      <c r="M19" s="2289"/>
      <c r="N19" s="2043"/>
      <c r="O19" s="2043"/>
      <c r="P19" s="2050"/>
      <c r="Q19" s="2043"/>
      <c r="R19" s="2043"/>
      <c r="S19" s="2043"/>
      <c r="T19" s="2043"/>
      <c r="U19" s="2043"/>
      <c r="V19" s="2043"/>
      <c r="W19" s="2043"/>
      <c r="X19" s="2043"/>
      <c r="Y19" s="2043"/>
      <c r="Z19" s="2043"/>
      <c r="AA19" s="2043"/>
      <c r="AB19" s="2043"/>
      <c r="AC19" s="2043"/>
      <c r="AD19" s="2043"/>
      <c r="AE19" s="2052"/>
      <c r="AF19" s="2559"/>
      <c r="AG19" s="2555"/>
      <c r="AH19" s="2555"/>
      <c r="AI19" s="2559"/>
      <c r="AJ19" s="2555"/>
      <c r="AK19" s="2555"/>
      <c r="AL19" s="1993"/>
      <c r="AM19" s="1830"/>
      <c r="AN19" s="1830"/>
      <c r="AO19" s="1830"/>
      <c r="AP19" s="1830"/>
      <c r="AQ19" s="1830"/>
      <c r="AR19" s="1830"/>
      <c r="AS19" s="1830"/>
      <c r="AT19" s="1830"/>
      <c r="AU19" s="1830"/>
      <c r="AV19" s="1830"/>
      <c r="AW19" s="1830"/>
      <c r="AX19" s="1830"/>
      <c r="AY19" s="1830"/>
      <c r="AZ19" s="1830"/>
      <c r="BA19" s="1830"/>
      <c r="BB19" s="1830"/>
      <c r="BC19" s="1830"/>
      <c r="BD19" s="1830"/>
      <c r="BE19" s="1830"/>
      <c r="BF19" s="1830"/>
      <c r="BG19" s="1643"/>
    </row>
    <row customHeight="1" ht="11.25">
      <c r="A20" s="1174" t="s">
        <v>1040</v>
      </c>
      <c r="B20" s="1174" t="s">
        <v>1072</v>
      </c>
      <c r="C20" s="1174"/>
      <c r="D20" s="1168"/>
      <c r="E20" s="1178"/>
      <c r="F20" s="1836"/>
      <c r="G20" s="691" t="s">
        <v>103</v>
      </c>
      <c r="H20" s="2536" t="s">
        <v>118</v>
      </c>
      <c r="I20" s="2537" t="s">
        <v>1073</v>
      </c>
      <c r="J20" s="2506" t="s">
        <v>1074</v>
      </c>
      <c r="K20" s="2538" t="s">
        <v>1075</v>
      </c>
      <c r="L20" s="2128" t="s">
        <v>19</v>
      </c>
      <c r="M20" s="2129"/>
      <c r="N20" s="1991"/>
      <c r="O20" s="1185" t="s">
        <v>393</v>
      </c>
      <c r="P20" s="1186"/>
      <c r="Q20" s="1186"/>
      <c r="R20" s="1186"/>
      <c r="S20" s="1186"/>
      <c r="T20" s="1186"/>
      <c r="U20" s="1186"/>
      <c r="V20" s="1186"/>
      <c r="W20" s="1186"/>
      <c r="X20" s="1186"/>
      <c r="Y20" s="1186"/>
      <c r="Z20" s="1186"/>
      <c r="AA20" s="1186"/>
      <c r="AB20" s="1186"/>
      <c r="AC20" s="1186"/>
      <c r="AD20" s="1186"/>
      <c r="AE20" s="1186"/>
      <c r="AF20" s="2527">
        <v>4</v>
      </c>
      <c r="AG20" s="2528" t="s">
        <v>1076</v>
      </c>
      <c r="AH20" s="2528" t="s">
        <v>1077</v>
      </c>
      <c r="AI20" s="2734"/>
      <c r="AJ20" s="2528" t="s">
        <v>1078</v>
      </c>
      <c r="AK20" s="2528" t="s">
        <v>1078</v>
      </c>
      <c r="AL20" s="1993"/>
      <c r="AM20" s="1830"/>
      <c r="AN20" s="1830"/>
      <c r="AO20" s="1830"/>
      <c r="AP20" s="1830"/>
      <c r="AQ20" s="1830"/>
      <c r="AR20" s="1830"/>
      <c r="AS20" s="1830"/>
      <c r="AT20" s="1830"/>
      <c r="AU20" s="1830"/>
      <c r="AV20" s="1830"/>
      <c r="AW20" s="1830"/>
      <c r="AX20" s="1830"/>
      <c r="AY20" s="1830"/>
      <c r="AZ20" s="1830"/>
      <c r="BA20" s="1830"/>
      <c r="BB20" s="1830"/>
      <c r="BC20" s="1830"/>
      <c r="BD20" s="1830"/>
      <c r="BE20" s="1830"/>
      <c r="BF20" s="1830"/>
      <c r="BG20" s="1643"/>
    </row>
    <row customHeight="1" ht="11.25">
      <c r="A21" s="1174" t="s">
        <v>1040</v>
      </c>
      <c r="B21" s="1174"/>
      <c r="C21" s="1174"/>
      <c r="D21" s="1168"/>
      <c r="E21" s="1178"/>
      <c r="F21" s="1836"/>
      <c r="G21" s="1837"/>
      <c r="H21" s="2536" t="s">
        <v>393</v>
      </c>
      <c r="I21" s="2537"/>
      <c r="J21" s="2506"/>
      <c r="K21" s="2538"/>
      <c r="L21" s="2128"/>
      <c r="M21" s="2129"/>
      <c r="N21" s="2529"/>
      <c r="O21" s="2530">
        <v>1</v>
      </c>
      <c r="P21" s="2531" t="s">
        <v>61</v>
      </c>
      <c r="Q21" s="2735" t="s">
        <v>1079</v>
      </c>
      <c r="R21" s="2736" t="s">
        <v>1080</v>
      </c>
      <c r="S21" s="2736" t="s">
        <v>99</v>
      </c>
      <c r="T21" s="2736" t="s">
        <v>99</v>
      </c>
      <c r="U21" s="2736" t="s">
        <v>100</v>
      </c>
      <c r="V21" s="2736" t="s">
        <v>1081</v>
      </c>
      <c r="W21" s="2736" t="s">
        <v>1082</v>
      </c>
      <c r="X21" s="2736" t="s">
        <v>1083</v>
      </c>
      <c r="Y21" s="2736" t="s">
        <v>1084</v>
      </c>
      <c r="Z21" s="1183"/>
      <c r="AA21" s="1184"/>
      <c r="AB21" s="1184"/>
      <c r="AC21" s="1188"/>
      <c r="AD21" s="1188"/>
      <c r="AE21" s="1189"/>
      <c r="AF21" s="2527"/>
      <c r="AG21" s="2528"/>
      <c r="AH21" s="2528"/>
      <c r="AI21" s="2734"/>
      <c r="AJ21" s="2528"/>
      <c r="AK21" s="2528"/>
      <c r="AL21" s="1993"/>
      <c r="AM21" s="1830"/>
      <c r="AN21" s="1830"/>
      <c r="AO21" s="1830"/>
      <c r="AP21" s="1830"/>
      <c r="AQ21" s="1830"/>
      <c r="AR21" s="1830"/>
      <c r="AS21" s="1830"/>
      <c r="AT21" s="1830"/>
      <c r="AU21" s="1830"/>
      <c r="AV21" s="1830"/>
      <c r="AW21" s="1830"/>
      <c r="AX21" s="1830"/>
      <c r="AY21" s="1830"/>
      <c r="AZ21" s="1830"/>
      <c r="BA21" s="1830"/>
      <c r="BB21" s="1830"/>
      <c r="BC21" s="1830"/>
      <c r="BD21" s="1830"/>
      <c r="BE21" s="1830"/>
      <c r="BF21" s="1830"/>
      <c r="BG21" s="1643"/>
    </row>
    <row customHeight="1" ht="11.25">
      <c r="A22" s="1174" t="s">
        <v>1040</v>
      </c>
      <c r="B22" s="1174"/>
      <c r="C22" s="1174"/>
      <c r="D22" s="1168"/>
      <c r="E22" s="1178"/>
      <c r="F22" s="1836"/>
      <c r="G22" s="1837"/>
      <c r="H22" s="2536" t="s">
        <v>393</v>
      </c>
      <c r="I22" s="2537"/>
      <c r="J22" s="2506"/>
      <c r="K22" s="2538"/>
      <c r="L22" s="2128"/>
      <c r="M22" s="2129"/>
      <c r="N22" s="2529"/>
      <c r="O22" s="2530"/>
      <c r="P22" s="2532"/>
      <c r="Q22" s="2735"/>
      <c r="R22" s="2534"/>
      <c r="S22" s="2535"/>
      <c r="T22" s="2534"/>
      <c r="U22" s="2534"/>
      <c r="V22" s="2534"/>
      <c r="W22" s="2534"/>
      <c r="X22" s="2534"/>
      <c r="Y22" s="2534"/>
      <c r="Z22" s="1835"/>
      <c r="AA22" s="1801">
        <v>1</v>
      </c>
      <c r="AB22" s="1187" t="s">
        <v>1085</v>
      </c>
      <c r="AC22" s="1177">
        <v>94074.51</v>
      </c>
      <c r="AD22" s="1187" t="str">
        <f>AB22</f>
        <v>  Прочие собственные средства</v>
      </c>
      <c r="AE22" s="1177">
        <v>93828.08341</v>
      </c>
      <c r="AF22" s="2527"/>
      <c r="AG22" s="2528"/>
      <c r="AH22" s="2528"/>
      <c r="AI22" s="2734"/>
      <c r="AJ22" s="2528"/>
      <c r="AK22" s="2528"/>
      <c r="AL22" s="1993"/>
      <c r="AM22" s="1830"/>
      <c r="AN22" s="1830"/>
      <c r="AO22" s="1830"/>
      <c r="AP22" s="1830"/>
      <c r="AQ22" s="1830"/>
      <c r="AR22" s="1830"/>
      <c r="AS22" s="1830"/>
      <c r="AT22" s="1830"/>
      <c r="AU22" s="1830"/>
      <c r="AV22" s="1830"/>
      <c r="AW22" s="1830"/>
      <c r="AX22" s="1830"/>
      <c r="AY22" s="1830"/>
      <c r="AZ22" s="1830"/>
      <c r="BA22" s="1830"/>
      <c r="BB22" s="1830"/>
      <c r="BC22" s="1830"/>
      <c r="BD22" s="1830"/>
      <c r="BE22" s="1830"/>
      <c r="BF22" s="1830"/>
      <c r="BG22" s="1643"/>
    </row>
    <row customHeight="1" ht="11.25">
      <c r="A23" s="1174" t="s">
        <v>1040</v>
      </c>
      <c r="B23" s="1174"/>
      <c r="C23" s="1174"/>
      <c r="D23" s="1168"/>
      <c r="E23" s="1178"/>
      <c r="F23" s="1836"/>
      <c r="G23" s="1837"/>
      <c r="H23" s="2536" t="s">
        <v>393</v>
      </c>
      <c r="I23" s="2537"/>
      <c r="J23" s="2506"/>
      <c r="K23" s="2538"/>
      <c r="L23" s="2128"/>
      <c r="M23" s="2129"/>
      <c r="N23" s="2529"/>
      <c r="O23" s="2530"/>
      <c r="P23" s="2533"/>
      <c r="Q23" s="2735"/>
      <c r="R23" s="2534"/>
      <c r="S23" s="2535"/>
      <c r="T23" s="2534"/>
      <c r="U23" s="2534"/>
      <c r="V23" s="2534"/>
      <c r="W23" s="2534"/>
      <c r="X23" s="2534"/>
      <c r="Y23" s="2534"/>
      <c r="Z23" s="1183"/>
      <c r="AA23" s="1184"/>
      <c r="AB23" s="1249" t="s">
        <v>1086</v>
      </c>
      <c r="AC23" s="1188"/>
      <c r="AD23" s="1188"/>
      <c r="AE23" s="1190"/>
      <c r="AF23" s="2527"/>
      <c r="AG23" s="2528"/>
      <c r="AH23" s="2528"/>
      <c r="AI23" s="2734"/>
      <c r="AJ23" s="2528"/>
      <c r="AK23" s="2528"/>
      <c r="AL23" s="1993"/>
      <c r="AM23" s="1830"/>
      <c r="AN23" s="1830"/>
      <c r="AO23" s="1830"/>
      <c r="AP23" s="1830"/>
      <c r="AQ23" s="1830"/>
      <c r="AR23" s="1830"/>
      <c r="AS23" s="1830"/>
      <c r="AT23" s="1830"/>
      <c r="AU23" s="1830"/>
      <c r="AV23" s="1830"/>
      <c r="AW23" s="1830"/>
      <c r="AX23" s="1830"/>
      <c r="AY23" s="1830"/>
      <c r="AZ23" s="1830"/>
      <c r="BA23" s="1830"/>
      <c r="BB23" s="1830"/>
      <c r="BC23" s="1830"/>
      <c r="BD23" s="1830"/>
      <c r="BE23" s="1830"/>
      <c r="BF23" s="1830"/>
      <c r="BG23" s="1643"/>
    </row>
    <row customHeight="1" ht="11.25">
      <c r="A24" s="1174" t="s">
        <v>1040</v>
      </c>
      <c r="B24" s="1174"/>
      <c r="C24" s="1174"/>
      <c r="D24" s="1168"/>
      <c r="E24" s="1178"/>
      <c r="F24" s="1836"/>
      <c r="G24" s="1837"/>
      <c r="H24" s="2536" t="s">
        <v>393</v>
      </c>
      <c r="I24" s="2537"/>
      <c r="J24" s="2506"/>
      <c r="K24" s="2538"/>
      <c r="L24" s="2128"/>
      <c r="M24" s="2129"/>
      <c r="N24" s="1183"/>
      <c r="O24" s="1184"/>
      <c r="P24" s="1176" t="s">
        <v>1087</v>
      </c>
      <c r="Q24" s="1184"/>
      <c r="R24" s="1184"/>
      <c r="S24" s="1184"/>
      <c r="T24" s="1184"/>
      <c r="U24" s="1184"/>
      <c r="V24" s="1184"/>
      <c r="W24" s="1184"/>
      <c r="X24" s="1184"/>
      <c r="Y24" s="1184"/>
      <c r="Z24" s="1184"/>
      <c r="AA24" s="1184"/>
      <c r="AB24" s="1184"/>
      <c r="AC24" s="1184"/>
      <c r="AD24" s="1184"/>
      <c r="AE24" s="1191"/>
      <c r="AF24" s="2527"/>
      <c r="AG24" s="2528"/>
      <c r="AH24" s="2528"/>
      <c r="AI24" s="2734"/>
      <c r="AJ24" s="2528"/>
      <c r="AK24" s="2528"/>
      <c r="AL24" s="1993"/>
      <c r="AM24" s="1830"/>
      <c r="AN24" s="1830"/>
      <c r="AO24" s="1830"/>
      <c r="AP24" s="1830"/>
      <c r="AQ24" s="1830"/>
      <c r="AR24" s="1830"/>
      <c r="AS24" s="1830"/>
      <c r="AT24" s="1830"/>
      <c r="AU24" s="1830"/>
      <c r="AV24" s="1830"/>
      <c r="AW24" s="1830"/>
      <c r="AX24" s="1830"/>
      <c r="AY24" s="1830"/>
      <c r="AZ24" s="1830"/>
      <c r="BA24" s="1830"/>
      <c r="BB24" s="1830"/>
      <c r="BC24" s="1830"/>
      <c r="BD24" s="1830"/>
      <c r="BE24" s="1830"/>
      <c r="BF24" s="1830"/>
      <c r="BG24" s="1643"/>
    </row>
    <row customHeight="1" ht="11.25">
      <c r="A25" s="1174" t="s">
        <v>1040</v>
      </c>
      <c r="B25" s="1174" t="s">
        <v>1072</v>
      </c>
      <c r="C25" s="1174"/>
      <c r="D25" s="1168"/>
      <c r="E25" s="1178"/>
      <c r="F25" s="1836"/>
      <c r="G25" s="691" t="s">
        <v>103</v>
      </c>
      <c r="H25" s="2536" t="s">
        <v>102</v>
      </c>
      <c r="I25" s="2537" t="s">
        <v>1073</v>
      </c>
      <c r="J25" s="2506" t="s">
        <v>1074</v>
      </c>
      <c r="K25" s="2538" t="s">
        <v>1088</v>
      </c>
      <c r="L25" s="2128" t="s">
        <v>19</v>
      </c>
      <c r="M25" s="2129"/>
      <c r="N25" s="1991"/>
      <c r="O25" s="1185" t="s">
        <v>393</v>
      </c>
      <c r="P25" s="1186"/>
      <c r="Q25" s="1186"/>
      <c r="R25" s="1186"/>
      <c r="S25" s="1186"/>
      <c r="T25" s="1186"/>
      <c r="U25" s="1186"/>
      <c r="V25" s="1186"/>
      <c r="W25" s="1186"/>
      <c r="X25" s="1186"/>
      <c r="Y25" s="1186"/>
      <c r="Z25" s="1186"/>
      <c r="AA25" s="1186"/>
      <c r="AB25" s="1186"/>
      <c r="AC25" s="1186"/>
      <c r="AD25" s="1186"/>
      <c r="AE25" s="1186"/>
      <c r="AF25" s="2527">
        <v>5</v>
      </c>
      <c r="AG25" s="2528" t="s">
        <v>1076</v>
      </c>
      <c r="AH25" s="2528" t="s">
        <v>1089</v>
      </c>
      <c r="AI25" s="2734"/>
      <c r="AJ25" s="2528" t="s">
        <v>1078</v>
      </c>
      <c r="AK25" s="2528" t="s">
        <v>1078</v>
      </c>
      <c r="AL25" s="1993"/>
      <c r="AM25" s="1830"/>
      <c r="AN25" s="1830"/>
      <c r="AO25" s="1830"/>
      <c r="AP25" s="1830"/>
      <c r="AQ25" s="1830"/>
      <c r="AR25" s="1830"/>
      <c r="AS25" s="1830"/>
      <c r="AT25" s="1830"/>
      <c r="AU25" s="1830"/>
      <c r="AV25" s="1830"/>
      <c r="AW25" s="1830"/>
      <c r="AX25" s="1830"/>
      <c r="AY25" s="1830"/>
      <c r="AZ25" s="1830"/>
      <c r="BA25" s="1830"/>
      <c r="BB25" s="1830"/>
      <c r="BC25" s="1830"/>
      <c r="BD25" s="1830"/>
      <c r="BE25" s="1830"/>
      <c r="BF25" s="1830"/>
      <c r="BG25" s="1643"/>
    </row>
    <row customHeight="1" ht="11.25">
      <c r="A26" s="1174" t="s">
        <v>1040</v>
      </c>
      <c r="B26" s="1174"/>
      <c r="C26" s="1174"/>
      <c r="D26" s="1168"/>
      <c r="E26" s="1178"/>
      <c r="F26" s="1836"/>
      <c r="G26" s="1837"/>
      <c r="H26" s="2536" t="s">
        <v>118</v>
      </c>
      <c r="I26" s="2537"/>
      <c r="J26" s="2506"/>
      <c r="K26" s="2538"/>
      <c r="L26" s="2128"/>
      <c r="M26" s="2129"/>
      <c r="N26" s="2529"/>
      <c r="O26" s="2530">
        <v>1</v>
      </c>
      <c r="P26" s="2531" t="s">
        <v>61</v>
      </c>
      <c r="Q26" s="2735" t="s">
        <v>1079</v>
      </c>
      <c r="R26" s="2736" t="s">
        <v>1080</v>
      </c>
      <c r="S26" s="2736" t="s">
        <v>99</v>
      </c>
      <c r="T26" s="2736" t="s">
        <v>99</v>
      </c>
      <c r="U26" s="2736" t="s">
        <v>100</v>
      </c>
      <c r="V26" s="2736" t="s">
        <v>1081</v>
      </c>
      <c r="W26" s="2736" t="s">
        <v>1082</v>
      </c>
      <c r="X26" s="2736" t="s">
        <v>1083</v>
      </c>
      <c r="Y26" s="2736" t="s">
        <v>1084</v>
      </c>
      <c r="Z26" s="1183"/>
      <c r="AA26" s="1184"/>
      <c r="AB26" s="1184"/>
      <c r="AC26" s="1188"/>
      <c r="AD26" s="1188"/>
      <c r="AE26" s="1189"/>
      <c r="AF26" s="2527"/>
      <c r="AG26" s="2528"/>
      <c r="AH26" s="2528"/>
      <c r="AI26" s="2734"/>
      <c r="AJ26" s="2528"/>
      <c r="AK26" s="2528"/>
      <c r="AL26" s="1993"/>
      <c r="AM26" s="1830"/>
      <c r="AN26" s="1830"/>
      <c r="AO26" s="1830"/>
      <c r="AP26" s="1830"/>
      <c r="AQ26" s="1830"/>
      <c r="AR26" s="1830"/>
      <c r="AS26" s="1830"/>
      <c r="AT26" s="1830"/>
      <c r="AU26" s="1830"/>
      <c r="AV26" s="1830"/>
      <c r="AW26" s="1830"/>
      <c r="AX26" s="1830"/>
      <c r="AY26" s="1830"/>
      <c r="AZ26" s="1830"/>
      <c r="BA26" s="1830"/>
      <c r="BB26" s="1830"/>
      <c r="BC26" s="1830"/>
      <c r="BD26" s="1830"/>
      <c r="BE26" s="1830"/>
      <c r="BF26" s="1830"/>
      <c r="BG26" s="1643"/>
    </row>
    <row customHeight="1" ht="11.25">
      <c r="A27" s="1174" t="s">
        <v>1040</v>
      </c>
      <c r="B27" s="1174"/>
      <c r="C27" s="1174"/>
      <c r="D27" s="1168"/>
      <c r="E27" s="1178"/>
      <c r="F27" s="1836"/>
      <c r="G27" s="1837"/>
      <c r="H27" s="2536" t="s">
        <v>118</v>
      </c>
      <c r="I27" s="2537"/>
      <c r="J27" s="2506"/>
      <c r="K27" s="2538"/>
      <c r="L27" s="2128"/>
      <c r="M27" s="2129"/>
      <c r="N27" s="2529"/>
      <c r="O27" s="2530"/>
      <c r="P27" s="2532"/>
      <c r="Q27" s="2735"/>
      <c r="R27" s="2534"/>
      <c r="S27" s="2535"/>
      <c r="T27" s="2534"/>
      <c r="U27" s="2534"/>
      <c r="V27" s="2534"/>
      <c r="W27" s="2534"/>
      <c r="X27" s="2534"/>
      <c r="Y27" s="2534"/>
      <c r="Z27" s="1835"/>
      <c r="AA27" s="1801">
        <v>1</v>
      </c>
      <c r="AB27" s="1187" t="s">
        <v>1085</v>
      </c>
      <c r="AC27" s="1177">
        <v>45892.25</v>
      </c>
      <c r="AD27" s="1187" t="str">
        <f>AB27</f>
        <v>  Прочие собственные средства</v>
      </c>
      <c r="AE27" s="1177">
        <v>44801.29878</v>
      </c>
      <c r="AF27" s="2527"/>
      <c r="AG27" s="2528"/>
      <c r="AH27" s="2528"/>
      <c r="AI27" s="2734"/>
      <c r="AJ27" s="2528"/>
      <c r="AK27" s="2528"/>
      <c r="AL27" s="1993"/>
      <c r="AM27" s="1830"/>
      <c r="AN27" s="1830"/>
      <c r="AO27" s="1830"/>
      <c r="AP27" s="1830"/>
      <c r="AQ27" s="1830"/>
      <c r="AR27" s="1830"/>
      <c r="AS27" s="1830"/>
      <c r="AT27" s="1830"/>
      <c r="AU27" s="1830"/>
      <c r="AV27" s="1830"/>
      <c r="AW27" s="1830"/>
      <c r="AX27" s="1830"/>
      <c r="AY27" s="1830"/>
      <c r="AZ27" s="1830"/>
      <c r="BA27" s="1830"/>
      <c r="BB27" s="1830"/>
      <c r="BC27" s="1830"/>
      <c r="BD27" s="1830"/>
      <c r="BE27" s="1830"/>
      <c r="BF27" s="1830"/>
      <c r="BG27" s="1643"/>
    </row>
    <row customHeight="1" ht="11.25">
      <c r="A28" s="1174" t="s">
        <v>1040</v>
      </c>
      <c r="B28" s="1174"/>
      <c r="C28" s="1174"/>
      <c r="D28" s="1168"/>
      <c r="E28" s="1178"/>
      <c r="F28" s="1836"/>
      <c r="G28" s="1837"/>
      <c r="H28" s="2536" t="s">
        <v>118</v>
      </c>
      <c r="I28" s="2537"/>
      <c r="J28" s="2506"/>
      <c r="K28" s="2538"/>
      <c r="L28" s="2128"/>
      <c r="M28" s="2129"/>
      <c r="N28" s="2529"/>
      <c r="O28" s="2530"/>
      <c r="P28" s="2533"/>
      <c r="Q28" s="2735"/>
      <c r="R28" s="2534"/>
      <c r="S28" s="2535"/>
      <c r="T28" s="2534"/>
      <c r="U28" s="2534"/>
      <c r="V28" s="2534"/>
      <c r="W28" s="2534"/>
      <c r="X28" s="2534"/>
      <c r="Y28" s="2534"/>
      <c r="Z28" s="1183"/>
      <c r="AA28" s="1184"/>
      <c r="AB28" s="1249" t="s">
        <v>1086</v>
      </c>
      <c r="AC28" s="1188"/>
      <c r="AD28" s="1188"/>
      <c r="AE28" s="1190"/>
      <c r="AF28" s="2527"/>
      <c r="AG28" s="2528"/>
      <c r="AH28" s="2528"/>
      <c r="AI28" s="2734"/>
      <c r="AJ28" s="2528"/>
      <c r="AK28" s="2528"/>
      <c r="AL28" s="1993"/>
      <c r="AM28" s="1830"/>
      <c r="AN28" s="1830"/>
      <c r="AO28" s="1830"/>
      <c r="AP28" s="1830"/>
      <c r="AQ28" s="1830"/>
      <c r="AR28" s="1830"/>
      <c r="AS28" s="1830"/>
      <c r="AT28" s="1830"/>
      <c r="AU28" s="1830"/>
      <c r="AV28" s="1830"/>
      <c r="AW28" s="1830"/>
      <c r="AX28" s="1830"/>
      <c r="AY28" s="1830"/>
      <c r="AZ28" s="1830"/>
      <c r="BA28" s="1830"/>
      <c r="BB28" s="1830"/>
      <c r="BC28" s="1830"/>
      <c r="BD28" s="1830"/>
      <c r="BE28" s="1830"/>
      <c r="BF28" s="1830"/>
      <c r="BG28" s="1643"/>
    </row>
    <row customHeight="1" ht="11.25">
      <c r="A29" s="1174" t="s">
        <v>1040</v>
      </c>
      <c r="B29" s="1174"/>
      <c r="C29" s="1174"/>
      <c r="D29" s="1168"/>
      <c r="E29" s="1178"/>
      <c r="F29" s="1836"/>
      <c r="G29" s="1837"/>
      <c r="H29" s="2536" t="s">
        <v>118</v>
      </c>
      <c r="I29" s="2537"/>
      <c r="J29" s="2506"/>
      <c r="K29" s="2538"/>
      <c r="L29" s="2128"/>
      <c r="M29" s="2129"/>
      <c r="N29" s="1183"/>
      <c r="O29" s="1184"/>
      <c r="P29" s="1176" t="s">
        <v>1087</v>
      </c>
      <c r="Q29" s="1184"/>
      <c r="R29" s="1184"/>
      <c r="S29" s="1184"/>
      <c r="T29" s="1184"/>
      <c r="U29" s="1184"/>
      <c r="V29" s="1184"/>
      <c r="W29" s="1184"/>
      <c r="X29" s="1184"/>
      <c r="Y29" s="1184"/>
      <c r="Z29" s="1184"/>
      <c r="AA29" s="1184"/>
      <c r="AB29" s="1184"/>
      <c r="AC29" s="1184"/>
      <c r="AD29" s="1184"/>
      <c r="AE29" s="1191"/>
      <c r="AF29" s="2527"/>
      <c r="AG29" s="2528"/>
      <c r="AH29" s="2528"/>
      <c r="AI29" s="2734"/>
      <c r="AJ29" s="2528"/>
      <c r="AK29" s="2528"/>
      <c r="AL29" s="1993"/>
      <c r="AM29" s="1830"/>
      <c r="AN29" s="1830"/>
      <c r="AO29" s="1830"/>
      <c r="AP29" s="1830"/>
      <c r="AQ29" s="1830"/>
      <c r="AR29" s="1830"/>
      <c r="AS29" s="1830"/>
      <c r="AT29" s="1830"/>
      <c r="AU29" s="1830"/>
      <c r="AV29" s="1830"/>
      <c r="AW29" s="1830"/>
      <c r="AX29" s="1830"/>
      <c r="AY29" s="1830"/>
      <c r="AZ29" s="1830"/>
      <c r="BA29" s="1830"/>
      <c r="BB29" s="1830"/>
      <c r="BC29" s="1830"/>
      <c r="BD29" s="1830"/>
      <c r="BE29" s="1830"/>
      <c r="BF29" s="1830"/>
      <c r="BG29" s="1643"/>
    </row>
    <row customHeight="1" ht="11.25">
      <c r="A30" s="1174" t="s">
        <v>1040</v>
      </c>
      <c r="B30" s="1174" t="s">
        <v>1072</v>
      </c>
      <c r="C30" s="1174"/>
      <c r="D30" s="1168"/>
      <c r="E30" s="1178"/>
      <c r="F30" s="1836"/>
      <c r="G30" s="691" t="s">
        <v>103</v>
      </c>
      <c r="H30" s="2536" t="s">
        <v>90</v>
      </c>
      <c r="I30" s="2537" t="s">
        <v>1073</v>
      </c>
      <c r="J30" s="2506" t="s">
        <v>1074</v>
      </c>
      <c r="K30" s="2538" t="s">
        <v>1090</v>
      </c>
      <c r="L30" s="2128" t="s">
        <v>19</v>
      </c>
      <c r="M30" s="2129"/>
      <c r="N30" s="1991"/>
      <c r="O30" s="1185" t="s">
        <v>393</v>
      </c>
      <c r="P30" s="1186"/>
      <c r="Q30" s="1186"/>
      <c r="R30" s="1186"/>
      <c r="S30" s="1186"/>
      <c r="T30" s="1186"/>
      <c r="U30" s="1186"/>
      <c r="V30" s="1186"/>
      <c r="W30" s="1186"/>
      <c r="X30" s="1186"/>
      <c r="Y30" s="1186"/>
      <c r="Z30" s="1186"/>
      <c r="AA30" s="1186"/>
      <c r="AB30" s="1186"/>
      <c r="AC30" s="1186"/>
      <c r="AD30" s="1186"/>
      <c r="AE30" s="1186"/>
      <c r="AF30" s="2527">
        <v>1</v>
      </c>
      <c r="AG30" s="2528" t="s">
        <v>1076</v>
      </c>
      <c r="AH30" s="2528" t="s">
        <v>1091</v>
      </c>
      <c r="AI30" s="2527">
        <v>1</v>
      </c>
      <c r="AJ30" s="2528" t="s">
        <v>1092</v>
      </c>
      <c r="AK30" s="2528" t="s">
        <v>1093</v>
      </c>
      <c r="AL30" s="1993"/>
      <c r="AM30" s="1830"/>
      <c r="AN30" s="1830"/>
      <c r="AO30" s="1830"/>
      <c r="AP30" s="1830"/>
      <c r="AQ30" s="1830"/>
      <c r="AR30" s="1830"/>
      <c r="AS30" s="1830"/>
      <c r="AT30" s="1830"/>
      <c r="AU30" s="1830"/>
      <c r="AV30" s="1830"/>
      <c r="AW30" s="1830"/>
      <c r="AX30" s="1830"/>
      <c r="AY30" s="1830"/>
      <c r="AZ30" s="1830"/>
      <c r="BA30" s="1830"/>
      <c r="BB30" s="1830"/>
      <c r="BC30" s="1830"/>
      <c r="BD30" s="1830"/>
      <c r="BE30" s="1830"/>
      <c r="BF30" s="1830"/>
      <c r="BG30" s="1643"/>
    </row>
    <row customHeight="1" ht="11.25">
      <c r="A31" s="1174" t="s">
        <v>1040</v>
      </c>
      <c r="B31" s="1174"/>
      <c r="C31" s="1174"/>
      <c r="D31" s="1168"/>
      <c r="E31" s="1178"/>
      <c r="F31" s="1836"/>
      <c r="G31" s="1837"/>
      <c r="H31" s="2536" t="s">
        <v>102</v>
      </c>
      <c r="I31" s="2537"/>
      <c r="J31" s="2506"/>
      <c r="K31" s="2538"/>
      <c r="L31" s="2128"/>
      <c r="M31" s="2129"/>
      <c r="N31" s="2529"/>
      <c r="O31" s="2530">
        <v>1</v>
      </c>
      <c r="P31" s="2531" t="s">
        <v>61</v>
      </c>
      <c r="Q31" s="2735" t="s">
        <v>1079</v>
      </c>
      <c r="R31" s="2736" t="s">
        <v>1080</v>
      </c>
      <c r="S31" s="2736" t="s">
        <v>99</v>
      </c>
      <c r="T31" s="2736" t="s">
        <v>99</v>
      </c>
      <c r="U31" s="2736" t="s">
        <v>100</v>
      </c>
      <c r="V31" s="2736" t="s">
        <v>1081</v>
      </c>
      <c r="W31" s="2736" t="s">
        <v>1082</v>
      </c>
      <c r="X31" s="2736" t="s">
        <v>1083</v>
      </c>
      <c r="Y31" s="2736" t="s">
        <v>1084</v>
      </c>
      <c r="Z31" s="1183"/>
      <c r="AA31" s="1184"/>
      <c r="AB31" s="1184"/>
      <c r="AC31" s="1188"/>
      <c r="AD31" s="1188"/>
      <c r="AE31" s="1189"/>
      <c r="AF31" s="2527"/>
      <c r="AG31" s="2528"/>
      <c r="AH31" s="2528"/>
      <c r="AI31" s="2527"/>
      <c r="AJ31" s="2528"/>
      <c r="AK31" s="2528"/>
      <c r="AL31" s="1993"/>
      <c r="AM31" s="1830"/>
      <c r="AN31" s="1830"/>
      <c r="AO31" s="1830"/>
      <c r="AP31" s="1830"/>
      <c r="AQ31" s="1830"/>
      <c r="AR31" s="1830"/>
      <c r="AS31" s="1830"/>
      <c r="AT31" s="1830"/>
      <c r="AU31" s="1830"/>
      <c r="AV31" s="1830"/>
      <c r="AW31" s="1830"/>
      <c r="AX31" s="1830"/>
      <c r="AY31" s="1830"/>
      <c r="AZ31" s="1830"/>
      <c r="BA31" s="1830"/>
      <c r="BB31" s="1830"/>
      <c r="BC31" s="1830"/>
      <c r="BD31" s="1830"/>
      <c r="BE31" s="1830"/>
      <c r="BF31" s="1830"/>
      <c r="BG31" s="1643"/>
    </row>
    <row customHeight="1" ht="11.25">
      <c r="A32" s="1174" t="s">
        <v>1040</v>
      </c>
      <c r="B32" s="1174"/>
      <c r="C32" s="1174"/>
      <c r="D32" s="1168"/>
      <c r="E32" s="1178"/>
      <c r="F32" s="1836"/>
      <c r="G32" s="1837"/>
      <c r="H32" s="2536" t="s">
        <v>102</v>
      </c>
      <c r="I32" s="2537"/>
      <c r="J32" s="2506"/>
      <c r="K32" s="2538"/>
      <c r="L32" s="2128"/>
      <c r="M32" s="2129"/>
      <c r="N32" s="2529"/>
      <c r="O32" s="2530"/>
      <c r="P32" s="2532"/>
      <c r="Q32" s="2735"/>
      <c r="R32" s="2534"/>
      <c r="S32" s="2535"/>
      <c r="T32" s="2534"/>
      <c r="U32" s="2534"/>
      <c r="V32" s="2534"/>
      <c r="W32" s="2534"/>
      <c r="X32" s="2534"/>
      <c r="Y32" s="2534"/>
      <c r="Z32" s="1835"/>
      <c r="AA32" s="1801">
        <v>1</v>
      </c>
      <c r="AB32" s="1187" t="s">
        <v>1094</v>
      </c>
      <c r="AC32" s="1177">
        <v>4146.78324</v>
      </c>
      <c r="AD32" s="1187" t="str">
        <f>AB32</f>
        <v>      Амортизационные отчисления с выделением результатов переоценки основных средств и нематериальных активов</v>
      </c>
      <c r="AE32" s="1177">
        <v>4146.78325</v>
      </c>
      <c r="AF32" s="2527"/>
      <c r="AG32" s="2528"/>
      <c r="AH32" s="2528"/>
      <c r="AI32" s="2527"/>
      <c r="AJ32" s="2528"/>
      <c r="AK32" s="2528"/>
      <c r="AL32" s="1993"/>
      <c r="AM32" s="1830"/>
      <c r="AN32" s="1830"/>
      <c r="AO32" s="1830"/>
      <c r="AP32" s="1830"/>
      <c r="AQ32" s="1830"/>
      <c r="AR32" s="1830"/>
      <c r="AS32" s="1830"/>
      <c r="AT32" s="1830"/>
      <c r="AU32" s="1830"/>
      <c r="AV32" s="1830"/>
      <c r="AW32" s="1830"/>
      <c r="AX32" s="1830"/>
      <c r="AY32" s="1830"/>
      <c r="AZ32" s="1830"/>
      <c r="BA32" s="1830"/>
      <c r="BB32" s="1830"/>
      <c r="BC32" s="1830"/>
      <c r="BD32" s="1830"/>
      <c r="BE32" s="1830"/>
      <c r="BF32" s="1830"/>
      <c r="BG32" s="1643"/>
    </row>
    <row customHeight="1" ht="11.25">
      <c r="A33" s="1174" t="s">
        <v>1040</v>
      </c>
      <c r="B33" s="1174"/>
      <c r="C33" s="1174"/>
      <c r="D33" s="1168"/>
      <c r="E33" s="1178"/>
      <c r="F33" s="1837"/>
      <c r="G33" s="1837"/>
      <c r="H33" s="1837"/>
      <c r="I33" s="1837"/>
      <c r="J33" s="1837"/>
      <c r="K33" s="1837"/>
      <c r="L33" s="1837"/>
      <c r="M33" s="1837"/>
      <c r="N33" s="1837"/>
      <c r="O33" s="1837"/>
      <c r="P33" s="1837"/>
      <c r="Q33" s="1837"/>
      <c r="R33" s="1837"/>
      <c r="S33" s="1837"/>
      <c r="T33" s="1837"/>
      <c r="U33" s="1837"/>
      <c r="V33" s="1837"/>
      <c r="W33" s="1837"/>
      <c r="X33" s="1837"/>
      <c r="Y33" s="1837"/>
      <c r="Z33" s="691" t="s">
        <v>103</v>
      </c>
      <c r="AA33" s="1821" t="s">
        <v>102</v>
      </c>
      <c r="AB33" s="1187" t="s">
        <v>1085</v>
      </c>
      <c r="AC33" s="1177">
        <v>829.36</v>
      </c>
      <c r="AD33" s="1187" t="str">
        <f>AB33</f>
        <v>  Прочие собственные средства</v>
      </c>
      <c r="AE33" s="1177">
        <v>829.35664</v>
      </c>
      <c r="AF33" s="2094"/>
      <c r="AG33" s="1766"/>
      <c r="AH33" s="1766"/>
      <c r="AI33" s="2094"/>
      <c r="AJ33" s="1766"/>
      <c r="AK33" s="1992"/>
      <c r="AL33" s="1993"/>
      <c r="AM33" s="1830"/>
      <c r="AN33" s="1830"/>
      <c r="AO33" s="1830"/>
      <c r="AP33" s="1830"/>
      <c r="AQ33" s="1830"/>
      <c r="AR33" s="1830"/>
      <c r="AS33" s="1830"/>
      <c r="AT33" s="1830"/>
      <c r="AU33" s="1830"/>
      <c r="AV33" s="1830"/>
      <c r="AW33" s="1830"/>
      <c r="AX33" s="1830"/>
      <c r="AY33" s="1830"/>
      <c r="AZ33" s="1830"/>
      <c r="BA33" s="1830"/>
      <c r="BB33" s="1830"/>
      <c r="BC33" s="1830"/>
      <c r="BD33" s="1830"/>
      <c r="BE33" s="1830"/>
      <c r="BF33" s="1830"/>
      <c r="BG33" s="1643"/>
    </row>
    <row customHeight="1" ht="11.25">
      <c r="A34" s="1174" t="s">
        <v>1040</v>
      </c>
      <c r="B34" s="1174"/>
      <c r="C34" s="1174"/>
      <c r="D34" s="1168"/>
      <c r="E34" s="1178"/>
      <c r="F34" s="1836"/>
      <c r="G34" s="1837"/>
      <c r="H34" s="2536" t="s">
        <v>102</v>
      </c>
      <c r="I34" s="2537"/>
      <c r="J34" s="2506"/>
      <c r="K34" s="2538"/>
      <c r="L34" s="2128"/>
      <c r="M34" s="2129"/>
      <c r="N34" s="2529"/>
      <c r="O34" s="2530"/>
      <c r="P34" s="2533"/>
      <c r="Q34" s="2735"/>
      <c r="R34" s="2534"/>
      <c r="S34" s="2535"/>
      <c r="T34" s="2534"/>
      <c r="U34" s="2534"/>
      <c r="V34" s="2534"/>
      <c r="W34" s="2534"/>
      <c r="X34" s="2534"/>
      <c r="Y34" s="2534"/>
      <c r="Z34" s="1183"/>
      <c r="AA34" s="1184"/>
      <c r="AB34" s="1249" t="s">
        <v>1086</v>
      </c>
      <c r="AC34" s="1188"/>
      <c r="AD34" s="1188"/>
      <c r="AE34" s="1190"/>
      <c r="AF34" s="2527"/>
      <c r="AG34" s="2528"/>
      <c r="AH34" s="2528"/>
      <c r="AI34" s="2527"/>
      <c r="AJ34" s="2528"/>
      <c r="AK34" s="2528"/>
      <c r="AL34" s="1993"/>
      <c r="AM34" s="1830"/>
      <c r="AN34" s="1830"/>
      <c r="AO34" s="1830"/>
      <c r="AP34" s="1830"/>
      <c r="AQ34" s="1830"/>
      <c r="AR34" s="1830"/>
      <c r="AS34" s="1830"/>
      <c r="AT34" s="1830"/>
      <c r="AU34" s="1830"/>
      <c r="AV34" s="1830"/>
      <c r="AW34" s="1830"/>
      <c r="AX34" s="1830"/>
      <c r="AY34" s="1830"/>
      <c r="AZ34" s="1830"/>
      <c r="BA34" s="1830"/>
      <c r="BB34" s="1830"/>
      <c r="BC34" s="1830"/>
      <c r="BD34" s="1830"/>
      <c r="BE34" s="1830"/>
      <c r="BF34" s="1830"/>
      <c r="BG34" s="1643"/>
    </row>
    <row customHeight="1" ht="11.25">
      <c r="A35" s="1174" t="s">
        <v>1040</v>
      </c>
      <c r="B35" s="1174"/>
      <c r="C35" s="1174"/>
      <c r="D35" s="1168"/>
      <c r="E35" s="1178"/>
      <c r="F35" s="1836"/>
      <c r="G35" s="1837"/>
      <c r="H35" s="2536" t="s">
        <v>102</v>
      </c>
      <c r="I35" s="2537"/>
      <c r="J35" s="2506"/>
      <c r="K35" s="2538"/>
      <c r="L35" s="2128"/>
      <c r="M35" s="2129"/>
      <c r="N35" s="1183"/>
      <c r="O35" s="1184"/>
      <c r="P35" s="1176" t="s">
        <v>1087</v>
      </c>
      <c r="Q35" s="1184"/>
      <c r="R35" s="1184"/>
      <c r="S35" s="1184"/>
      <c r="T35" s="1184"/>
      <c r="U35" s="1184"/>
      <c r="V35" s="1184"/>
      <c r="W35" s="1184"/>
      <c r="X35" s="1184"/>
      <c r="Y35" s="1184"/>
      <c r="Z35" s="1184"/>
      <c r="AA35" s="1184"/>
      <c r="AB35" s="1184"/>
      <c r="AC35" s="1184"/>
      <c r="AD35" s="1184"/>
      <c r="AE35" s="1191"/>
      <c r="AF35" s="2527"/>
      <c r="AG35" s="2528"/>
      <c r="AH35" s="2528"/>
      <c r="AI35" s="2527"/>
      <c r="AJ35" s="2528"/>
      <c r="AK35" s="2528"/>
      <c r="AL35" s="1993"/>
      <c r="AM35" s="1830"/>
      <c r="AN35" s="1830"/>
      <c r="AO35" s="1830"/>
      <c r="AP35" s="1830"/>
      <c r="AQ35" s="1830"/>
      <c r="AR35" s="1830"/>
      <c r="AS35" s="1830"/>
      <c r="AT35" s="1830"/>
      <c r="AU35" s="1830"/>
      <c r="AV35" s="1830"/>
      <c r="AW35" s="1830"/>
      <c r="AX35" s="1830"/>
      <c r="AY35" s="1830"/>
      <c r="AZ35" s="1830"/>
      <c r="BA35" s="1830"/>
      <c r="BB35" s="1830"/>
      <c r="BC35" s="1830"/>
      <c r="BD35" s="1830"/>
      <c r="BE35" s="1830"/>
      <c r="BF35" s="1830"/>
      <c r="BG35" s="1643"/>
    </row>
    <row customHeight="1" ht="11.25">
      <c r="A36" s="1174" t="s">
        <v>1040</v>
      </c>
      <c r="B36" s="1174" t="s">
        <v>1072</v>
      </c>
      <c r="C36" s="1174"/>
      <c r="D36" s="1168"/>
      <c r="E36" s="1178"/>
      <c r="F36" s="1836"/>
      <c r="G36" s="691" t="s">
        <v>103</v>
      </c>
      <c r="H36" s="2536" t="s">
        <v>91</v>
      </c>
      <c r="I36" s="2537" t="s">
        <v>1073</v>
      </c>
      <c r="J36" s="2506" t="s">
        <v>1074</v>
      </c>
      <c r="K36" s="2538" t="s">
        <v>1095</v>
      </c>
      <c r="L36" s="2128" t="s">
        <v>19</v>
      </c>
      <c r="M36" s="2129"/>
      <c r="N36" s="1991"/>
      <c r="O36" s="1185" t="s">
        <v>393</v>
      </c>
      <c r="P36" s="1186"/>
      <c r="Q36" s="1186"/>
      <c r="R36" s="1186"/>
      <c r="S36" s="1186"/>
      <c r="T36" s="1186"/>
      <c r="U36" s="1186"/>
      <c r="V36" s="1186"/>
      <c r="W36" s="1186"/>
      <c r="X36" s="1186"/>
      <c r="Y36" s="1186"/>
      <c r="Z36" s="1186"/>
      <c r="AA36" s="1186"/>
      <c r="AB36" s="1186"/>
      <c r="AC36" s="1186"/>
      <c r="AD36" s="1186"/>
      <c r="AE36" s="1186"/>
      <c r="AF36" s="2527">
        <v>3</v>
      </c>
      <c r="AG36" s="2528" t="s">
        <v>1076</v>
      </c>
      <c r="AH36" s="2528" t="s">
        <v>1096</v>
      </c>
      <c r="AI36" s="2734"/>
      <c r="AJ36" s="2528" t="s">
        <v>1078</v>
      </c>
      <c r="AK36" s="2528" t="s">
        <v>1078</v>
      </c>
      <c r="AL36" s="1993"/>
      <c r="AM36" s="1830"/>
      <c r="AN36" s="1830"/>
      <c r="AO36" s="1830"/>
      <c r="AP36" s="1830"/>
      <c r="AQ36" s="1830"/>
      <c r="AR36" s="1830"/>
      <c r="AS36" s="1830"/>
      <c r="AT36" s="1830"/>
      <c r="AU36" s="1830"/>
      <c r="AV36" s="1830"/>
      <c r="AW36" s="1830"/>
      <c r="AX36" s="1830"/>
      <c r="AY36" s="1830"/>
      <c r="AZ36" s="1830"/>
      <c r="BA36" s="1830"/>
      <c r="BB36" s="1830"/>
      <c r="BC36" s="1830"/>
      <c r="BD36" s="1830"/>
      <c r="BE36" s="1830"/>
      <c r="BF36" s="1830"/>
      <c r="BG36" s="1643"/>
    </row>
    <row customHeight="1" ht="11.25">
      <c r="A37" s="1174" t="s">
        <v>1040</v>
      </c>
      <c r="B37" s="1174"/>
      <c r="C37" s="1174"/>
      <c r="D37" s="1168"/>
      <c r="E37" s="1178"/>
      <c r="F37" s="1836"/>
      <c r="G37" s="1837"/>
      <c r="H37" s="2536" t="s">
        <v>90</v>
      </c>
      <c r="I37" s="2537"/>
      <c r="J37" s="2506"/>
      <c r="K37" s="2538"/>
      <c r="L37" s="2128"/>
      <c r="M37" s="2129"/>
      <c r="N37" s="2529"/>
      <c r="O37" s="2530">
        <v>1</v>
      </c>
      <c r="P37" s="2531" t="s">
        <v>61</v>
      </c>
      <c r="Q37" s="2735" t="s">
        <v>1079</v>
      </c>
      <c r="R37" s="2736" t="s">
        <v>1080</v>
      </c>
      <c r="S37" s="2736" t="s">
        <v>99</v>
      </c>
      <c r="T37" s="2736" t="s">
        <v>99</v>
      </c>
      <c r="U37" s="2736" t="s">
        <v>100</v>
      </c>
      <c r="V37" s="2736" t="s">
        <v>1081</v>
      </c>
      <c r="W37" s="2736" t="s">
        <v>1082</v>
      </c>
      <c r="X37" s="2736" t="s">
        <v>1083</v>
      </c>
      <c r="Y37" s="2736" t="s">
        <v>1084</v>
      </c>
      <c r="Z37" s="1183"/>
      <c r="AA37" s="1184"/>
      <c r="AB37" s="1184"/>
      <c r="AC37" s="1188"/>
      <c r="AD37" s="1188"/>
      <c r="AE37" s="1189"/>
      <c r="AF37" s="2527"/>
      <c r="AG37" s="2528"/>
      <c r="AH37" s="2528"/>
      <c r="AI37" s="2734"/>
      <c r="AJ37" s="2528"/>
      <c r="AK37" s="2528"/>
      <c r="AL37" s="1993"/>
      <c r="AM37" s="1830"/>
      <c r="AN37" s="1830"/>
      <c r="AO37" s="1830"/>
      <c r="AP37" s="1830"/>
      <c r="AQ37" s="1830"/>
      <c r="AR37" s="1830"/>
      <c r="AS37" s="1830"/>
      <c r="AT37" s="1830"/>
      <c r="AU37" s="1830"/>
      <c r="AV37" s="1830"/>
      <c r="AW37" s="1830"/>
      <c r="AX37" s="1830"/>
      <c r="AY37" s="1830"/>
      <c r="AZ37" s="1830"/>
      <c r="BA37" s="1830"/>
      <c r="BB37" s="1830"/>
      <c r="BC37" s="1830"/>
      <c r="BD37" s="1830"/>
      <c r="BE37" s="1830"/>
      <c r="BF37" s="1830"/>
      <c r="BG37" s="1643"/>
    </row>
    <row customHeight="1" ht="11.25">
      <c r="A38" s="1174" t="s">
        <v>1040</v>
      </c>
      <c r="B38" s="1174"/>
      <c r="C38" s="1174"/>
      <c r="D38" s="1168"/>
      <c r="E38" s="1178"/>
      <c r="F38" s="1836"/>
      <c r="G38" s="1837"/>
      <c r="H38" s="2536" t="s">
        <v>90</v>
      </c>
      <c r="I38" s="2537"/>
      <c r="J38" s="2506"/>
      <c r="K38" s="2538"/>
      <c r="L38" s="2128"/>
      <c r="M38" s="2129"/>
      <c r="N38" s="2529"/>
      <c r="O38" s="2530"/>
      <c r="P38" s="2532"/>
      <c r="Q38" s="2735"/>
      <c r="R38" s="2534"/>
      <c r="S38" s="2535"/>
      <c r="T38" s="2534"/>
      <c r="U38" s="2534"/>
      <c r="V38" s="2534"/>
      <c r="W38" s="2534"/>
      <c r="X38" s="2534"/>
      <c r="Y38" s="2534"/>
      <c r="Z38" s="1835"/>
      <c r="AA38" s="1801">
        <v>1</v>
      </c>
      <c r="AB38" s="1187" t="s">
        <v>1097</v>
      </c>
      <c r="AC38" s="1177">
        <v>6696.84</v>
      </c>
      <c r="AD38" s="1187" t="str">
        <f>AB38</f>
        <v>  Кредиты</v>
      </c>
      <c r="AE38" s="1177">
        <v>631.2</v>
      </c>
      <c r="AF38" s="2527"/>
      <c r="AG38" s="2528"/>
      <c r="AH38" s="2528"/>
      <c r="AI38" s="2734"/>
      <c r="AJ38" s="2528"/>
      <c r="AK38" s="2528"/>
      <c r="AL38" s="1993"/>
      <c r="AM38" s="1830"/>
      <c r="AN38" s="1830"/>
      <c r="AO38" s="1830"/>
      <c r="AP38" s="1830"/>
      <c r="AQ38" s="1830"/>
      <c r="AR38" s="1830"/>
      <c r="AS38" s="1830"/>
      <c r="AT38" s="1830"/>
      <c r="AU38" s="1830"/>
      <c r="AV38" s="1830"/>
      <c r="AW38" s="1830"/>
      <c r="AX38" s="1830"/>
      <c r="AY38" s="1830"/>
      <c r="AZ38" s="1830"/>
      <c r="BA38" s="1830"/>
      <c r="BB38" s="1830"/>
      <c r="BC38" s="1830"/>
      <c r="BD38" s="1830"/>
      <c r="BE38" s="1830"/>
      <c r="BF38" s="1830"/>
      <c r="BG38" s="1643"/>
    </row>
    <row customHeight="1" ht="11.25">
      <c r="A39" s="1174" t="s">
        <v>1040</v>
      </c>
      <c r="B39" s="1174"/>
      <c r="C39" s="1174"/>
      <c r="D39" s="1168"/>
      <c r="E39" s="1178"/>
      <c r="F39" s="1837"/>
      <c r="G39" s="1837"/>
      <c r="H39" s="1837"/>
      <c r="I39" s="1837"/>
      <c r="J39" s="1837"/>
      <c r="K39" s="1837"/>
      <c r="L39" s="1837"/>
      <c r="M39" s="1837"/>
      <c r="N39" s="1837"/>
      <c r="O39" s="1837"/>
      <c r="P39" s="1837"/>
      <c r="Q39" s="1837"/>
      <c r="R39" s="1837"/>
      <c r="S39" s="1837"/>
      <c r="T39" s="1837"/>
      <c r="U39" s="1837"/>
      <c r="V39" s="1837"/>
      <c r="W39" s="1837"/>
      <c r="X39" s="1837"/>
      <c r="Y39" s="1837"/>
      <c r="Z39" s="691" t="s">
        <v>103</v>
      </c>
      <c r="AA39" s="1821" t="s">
        <v>102</v>
      </c>
      <c r="AB39" s="1187" t="s">
        <v>1085</v>
      </c>
      <c r="AC39" s="1177">
        <v>0</v>
      </c>
      <c r="AD39" s="1187" t="str">
        <f>AB39</f>
        <v>  Прочие собственные средства</v>
      </c>
      <c r="AE39" s="1177">
        <v>1438.96212</v>
      </c>
      <c r="AF39" s="2094"/>
      <c r="AG39" s="1766"/>
      <c r="AH39" s="1766"/>
      <c r="AI39" s="2094"/>
      <c r="AJ39" s="1766"/>
      <c r="AK39" s="1992"/>
      <c r="AL39" s="1993"/>
      <c r="AM39" s="1830"/>
      <c r="AN39" s="1830"/>
      <c r="AO39" s="1830"/>
      <c r="AP39" s="1830"/>
      <c r="AQ39" s="1830"/>
      <c r="AR39" s="1830"/>
      <c r="AS39" s="1830"/>
      <c r="AT39" s="1830"/>
      <c r="AU39" s="1830"/>
      <c r="AV39" s="1830"/>
      <c r="AW39" s="1830"/>
      <c r="AX39" s="1830"/>
      <c r="AY39" s="1830"/>
      <c r="AZ39" s="1830"/>
      <c r="BA39" s="1830"/>
      <c r="BB39" s="1830"/>
      <c r="BC39" s="1830"/>
      <c r="BD39" s="1830"/>
      <c r="BE39" s="1830"/>
      <c r="BF39" s="1830"/>
      <c r="BG39" s="1643"/>
    </row>
    <row customHeight="1" ht="11.25">
      <c r="A40" s="1174" t="s">
        <v>1040</v>
      </c>
      <c r="B40" s="1174"/>
      <c r="C40" s="1174"/>
      <c r="D40" s="1168"/>
      <c r="E40" s="1178"/>
      <c r="F40" s="1836"/>
      <c r="G40" s="1837"/>
      <c r="H40" s="2536" t="s">
        <v>90</v>
      </c>
      <c r="I40" s="2537"/>
      <c r="J40" s="2506"/>
      <c r="K40" s="2538"/>
      <c r="L40" s="2128"/>
      <c r="M40" s="2129"/>
      <c r="N40" s="2529"/>
      <c r="O40" s="2530"/>
      <c r="P40" s="2533"/>
      <c r="Q40" s="2735"/>
      <c r="R40" s="2534"/>
      <c r="S40" s="2535"/>
      <c r="T40" s="2534"/>
      <c r="U40" s="2534"/>
      <c r="V40" s="2534"/>
      <c r="W40" s="2534"/>
      <c r="X40" s="2534"/>
      <c r="Y40" s="2534"/>
      <c r="Z40" s="1183"/>
      <c r="AA40" s="1184"/>
      <c r="AB40" s="1249" t="s">
        <v>1086</v>
      </c>
      <c r="AC40" s="1188"/>
      <c r="AD40" s="1188"/>
      <c r="AE40" s="1190"/>
      <c r="AF40" s="2527"/>
      <c r="AG40" s="2528"/>
      <c r="AH40" s="2528"/>
      <c r="AI40" s="2734"/>
      <c r="AJ40" s="2528"/>
      <c r="AK40" s="2528"/>
      <c r="AL40" s="1993"/>
      <c r="AM40" s="1830"/>
      <c r="AN40" s="1830"/>
      <c r="AO40" s="1830"/>
      <c r="AP40" s="1830"/>
      <c r="AQ40" s="1830"/>
      <c r="AR40" s="1830"/>
      <c r="AS40" s="1830"/>
      <c r="AT40" s="1830"/>
      <c r="AU40" s="1830"/>
      <c r="AV40" s="1830"/>
      <c r="AW40" s="1830"/>
      <c r="AX40" s="1830"/>
      <c r="AY40" s="1830"/>
      <c r="AZ40" s="1830"/>
      <c r="BA40" s="1830"/>
      <c r="BB40" s="1830"/>
      <c r="BC40" s="1830"/>
      <c r="BD40" s="1830"/>
      <c r="BE40" s="1830"/>
      <c r="BF40" s="1830"/>
      <c r="BG40" s="1643"/>
    </row>
    <row customHeight="1" ht="11.25">
      <c r="A41" s="1174" t="s">
        <v>1040</v>
      </c>
      <c r="B41" s="1174"/>
      <c r="C41" s="1174"/>
      <c r="D41" s="1168"/>
      <c r="E41" s="1178"/>
      <c r="F41" s="1836"/>
      <c r="G41" s="1837"/>
      <c r="H41" s="2536" t="s">
        <v>90</v>
      </c>
      <c r="I41" s="2537"/>
      <c r="J41" s="2506"/>
      <c r="K41" s="2538"/>
      <c r="L41" s="2128"/>
      <c r="M41" s="2129"/>
      <c r="N41" s="1183"/>
      <c r="O41" s="1184"/>
      <c r="P41" s="1176" t="s">
        <v>1087</v>
      </c>
      <c r="Q41" s="1184"/>
      <c r="R41" s="1184"/>
      <c r="S41" s="1184"/>
      <c r="T41" s="1184"/>
      <c r="U41" s="1184"/>
      <c r="V41" s="1184"/>
      <c r="W41" s="1184"/>
      <c r="X41" s="1184"/>
      <c r="Y41" s="1184"/>
      <c r="Z41" s="1184"/>
      <c r="AA41" s="1184"/>
      <c r="AB41" s="1184"/>
      <c r="AC41" s="1184"/>
      <c r="AD41" s="1184"/>
      <c r="AE41" s="1191"/>
      <c r="AF41" s="2527"/>
      <c r="AG41" s="2528"/>
      <c r="AH41" s="2528"/>
      <c r="AI41" s="2734"/>
      <c r="AJ41" s="2528"/>
      <c r="AK41" s="2528"/>
      <c r="AL41" s="1993"/>
      <c r="AM41" s="1830"/>
      <c r="AN41" s="1830"/>
      <c r="AO41" s="1830"/>
      <c r="AP41" s="1830"/>
      <c r="AQ41" s="1830"/>
      <c r="AR41" s="1830"/>
      <c r="AS41" s="1830"/>
      <c r="AT41" s="1830"/>
      <c r="AU41" s="1830"/>
      <c r="AV41" s="1830"/>
      <c r="AW41" s="1830"/>
      <c r="AX41" s="1830"/>
      <c r="AY41" s="1830"/>
      <c r="AZ41" s="1830"/>
      <c r="BA41" s="1830"/>
      <c r="BB41" s="1830"/>
      <c r="BC41" s="1830"/>
      <c r="BD41" s="1830"/>
      <c r="BE41" s="1830"/>
      <c r="BF41" s="1830"/>
      <c r="BG41" s="1643"/>
    </row>
    <row customHeight="1" ht="11.25">
      <c r="A42" s="1174" t="s">
        <v>1040</v>
      </c>
      <c r="B42" s="1174" t="s">
        <v>22</v>
      </c>
      <c r="C42" s="1174"/>
      <c r="D42" s="1168"/>
      <c r="E42" s="1178"/>
      <c r="F42" s="1836"/>
      <c r="G42" s="691" t="s">
        <v>103</v>
      </c>
      <c r="H42" s="2536" t="s">
        <v>119</v>
      </c>
      <c r="I42" s="2537" t="s">
        <v>1098</v>
      </c>
      <c r="J42" s="2739" t="s">
        <v>22</v>
      </c>
      <c r="K42" s="2538" t="s">
        <v>1099</v>
      </c>
      <c r="L42" s="2128" t="s">
        <v>19</v>
      </c>
      <c r="M42" s="2129"/>
      <c r="N42" s="1991"/>
      <c r="O42" s="1185" t="s">
        <v>393</v>
      </c>
      <c r="P42" s="1186"/>
      <c r="Q42" s="1186"/>
      <c r="R42" s="1186"/>
      <c r="S42" s="1186"/>
      <c r="T42" s="1186"/>
      <c r="U42" s="1186"/>
      <c r="V42" s="1186"/>
      <c r="W42" s="1186"/>
      <c r="X42" s="1186"/>
      <c r="Y42" s="1186"/>
      <c r="Z42" s="1186"/>
      <c r="AA42" s="1186"/>
      <c r="AB42" s="1186"/>
      <c r="AC42" s="1186"/>
      <c r="AD42" s="1186"/>
      <c r="AE42" s="1186"/>
      <c r="AF42" s="2527">
        <v>2</v>
      </c>
      <c r="AG42" s="2528" t="s">
        <v>1100</v>
      </c>
      <c r="AH42" s="2528" t="s">
        <v>1101</v>
      </c>
      <c r="AI42" s="2734"/>
      <c r="AJ42" s="2528" t="s">
        <v>1078</v>
      </c>
      <c r="AK42" s="2528" t="s">
        <v>1078</v>
      </c>
      <c r="AL42" s="1993"/>
      <c r="AM42" s="1830"/>
      <c r="AN42" s="1830"/>
      <c r="AO42" s="1830"/>
      <c r="AP42" s="1830"/>
      <c r="AQ42" s="1830"/>
      <c r="AR42" s="1830"/>
      <c r="AS42" s="1830"/>
      <c r="AT42" s="1830"/>
      <c r="AU42" s="1830"/>
      <c r="AV42" s="1830"/>
      <c r="AW42" s="1830"/>
      <c r="AX42" s="1830"/>
      <c r="AY42" s="1830"/>
      <c r="AZ42" s="1830"/>
      <c r="BA42" s="1830"/>
      <c r="BB42" s="1830"/>
      <c r="BC42" s="1830"/>
      <c r="BD42" s="1830"/>
      <c r="BE42" s="1830"/>
      <c r="BF42" s="1830"/>
      <c r="BG42" s="1643"/>
    </row>
    <row customHeight="1" ht="11.25">
      <c r="A43" s="1174" t="s">
        <v>1040</v>
      </c>
      <c r="B43" s="1174"/>
      <c r="C43" s="1174"/>
      <c r="D43" s="1168"/>
      <c r="E43" s="1178"/>
      <c r="F43" s="1836"/>
      <c r="G43" s="1837"/>
      <c r="H43" s="2536" t="s">
        <v>91</v>
      </c>
      <c r="I43" s="2537"/>
      <c r="J43" s="2739"/>
      <c r="K43" s="2538"/>
      <c r="L43" s="2128"/>
      <c r="M43" s="2129"/>
      <c r="N43" s="2529"/>
      <c r="O43" s="2530">
        <v>1</v>
      </c>
      <c r="P43" s="2531" t="s">
        <v>61</v>
      </c>
      <c r="Q43" s="2735" t="s">
        <v>1079</v>
      </c>
      <c r="R43" s="2736" t="s">
        <v>1080</v>
      </c>
      <c r="S43" s="2736" t="s">
        <v>99</v>
      </c>
      <c r="T43" s="2736" t="s">
        <v>99</v>
      </c>
      <c r="U43" s="2736" t="s">
        <v>100</v>
      </c>
      <c r="V43" s="2736" t="s">
        <v>1081</v>
      </c>
      <c r="W43" s="2736" t="s">
        <v>1082</v>
      </c>
      <c r="X43" s="2736" t="s">
        <v>1083</v>
      </c>
      <c r="Y43" s="2736" t="s">
        <v>1084</v>
      </c>
      <c r="Z43" s="1183"/>
      <c r="AA43" s="1184"/>
      <c r="AB43" s="1184"/>
      <c r="AC43" s="1188"/>
      <c r="AD43" s="1188"/>
      <c r="AE43" s="1189"/>
      <c r="AF43" s="2527"/>
      <c r="AG43" s="2528"/>
      <c r="AH43" s="2528"/>
      <c r="AI43" s="2734"/>
      <c r="AJ43" s="2528"/>
      <c r="AK43" s="2528"/>
      <c r="AL43" s="1993"/>
      <c r="AM43" s="1830"/>
      <c r="AN43" s="1830"/>
      <c r="AO43" s="1830"/>
      <c r="AP43" s="1830"/>
      <c r="AQ43" s="1830"/>
      <c r="AR43" s="1830"/>
      <c r="AS43" s="1830"/>
      <c r="AT43" s="1830"/>
      <c r="AU43" s="1830"/>
      <c r="AV43" s="1830"/>
      <c r="AW43" s="1830"/>
      <c r="AX43" s="1830"/>
      <c r="AY43" s="1830"/>
      <c r="AZ43" s="1830"/>
      <c r="BA43" s="1830"/>
      <c r="BB43" s="1830"/>
      <c r="BC43" s="1830"/>
      <c r="BD43" s="1830"/>
      <c r="BE43" s="1830"/>
      <c r="BF43" s="1830"/>
      <c r="BG43" s="1643"/>
    </row>
    <row customHeight="1" ht="11.25">
      <c r="A44" s="1174" t="s">
        <v>1040</v>
      </c>
      <c r="B44" s="1174"/>
      <c r="C44" s="1174"/>
      <c r="D44" s="1168"/>
      <c r="E44" s="1178"/>
      <c r="F44" s="1836"/>
      <c r="G44" s="1837"/>
      <c r="H44" s="2536" t="s">
        <v>91</v>
      </c>
      <c r="I44" s="2537"/>
      <c r="J44" s="2739"/>
      <c r="K44" s="2538"/>
      <c r="L44" s="2128"/>
      <c r="M44" s="2129"/>
      <c r="N44" s="2529"/>
      <c r="O44" s="2530"/>
      <c r="P44" s="2532"/>
      <c r="Q44" s="2735"/>
      <c r="R44" s="2534"/>
      <c r="S44" s="2535"/>
      <c r="T44" s="2534"/>
      <c r="U44" s="2534"/>
      <c r="V44" s="2534"/>
      <c r="W44" s="2534"/>
      <c r="X44" s="2534"/>
      <c r="Y44" s="2534"/>
      <c r="Z44" s="1835"/>
      <c r="AA44" s="1801">
        <v>1</v>
      </c>
      <c r="AB44" s="1187" t="s">
        <v>1094</v>
      </c>
      <c r="AC44" s="1177">
        <v>8256.27</v>
      </c>
      <c r="AD44" s="1187" t="str">
        <f>AB44</f>
        <v>      Амортизационные отчисления с выделением результатов переоценки основных средств и нематериальных активов</v>
      </c>
      <c r="AE44" s="1177">
        <v>0</v>
      </c>
      <c r="AF44" s="2527"/>
      <c r="AG44" s="2528"/>
      <c r="AH44" s="2528"/>
      <c r="AI44" s="2734"/>
      <c r="AJ44" s="2528"/>
      <c r="AK44" s="2528"/>
      <c r="AL44" s="1993"/>
      <c r="AM44" s="1830"/>
      <c r="AN44" s="1830"/>
      <c r="AO44" s="1830"/>
      <c r="AP44" s="1830"/>
      <c r="AQ44" s="1830"/>
      <c r="AR44" s="1830"/>
      <c r="AS44" s="1830"/>
      <c r="AT44" s="1830"/>
      <c r="AU44" s="1830"/>
      <c r="AV44" s="1830"/>
      <c r="AW44" s="1830"/>
      <c r="AX44" s="1830"/>
      <c r="AY44" s="1830"/>
      <c r="AZ44" s="1830"/>
      <c r="BA44" s="1830"/>
      <c r="BB44" s="1830"/>
      <c r="BC44" s="1830"/>
      <c r="BD44" s="1830"/>
      <c r="BE44" s="1830"/>
      <c r="BF44" s="1830"/>
      <c r="BG44" s="1643"/>
    </row>
    <row customHeight="1" ht="11.25">
      <c r="A45" s="1174" t="s">
        <v>1040</v>
      </c>
      <c r="B45" s="1174"/>
      <c r="C45" s="1174"/>
      <c r="D45" s="1168"/>
      <c r="E45" s="1178"/>
      <c r="F45" s="1837"/>
      <c r="G45" s="1837"/>
      <c r="H45" s="1837"/>
      <c r="I45" s="1837"/>
      <c r="J45" s="1837"/>
      <c r="K45" s="1837"/>
      <c r="L45" s="1837"/>
      <c r="M45" s="1837"/>
      <c r="N45" s="1837"/>
      <c r="O45" s="1837"/>
      <c r="P45" s="1837"/>
      <c r="Q45" s="1837"/>
      <c r="R45" s="1837"/>
      <c r="S45" s="1837"/>
      <c r="T45" s="1837"/>
      <c r="U45" s="1837"/>
      <c r="V45" s="1837"/>
      <c r="W45" s="1837"/>
      <c r="X45" s="1837"/>
      <c r="Y45" s="1837"/>
      <c r="Z45" s="691" t="s">
        <v>103</v>
      </c>
      <c r="AA45" s="1821" t="s">
        <v>102</v>
      </c>
      <c r="AB45" s="1187" t="s">
        <v>1085</v>
      </c>
      <c r="AC45" s="1177">
        <v>1651.25</v>
      </c>
      <c r="AD45" s="1187" t="str">
        <f>AB45</f>
        <v>  Прочие собственные средства</v>
      </c>
      <c r="AE45" s="1177">
        <v>0</v>
      </c>
      <c r="AF45" s="2094"/>
      <c r="AG45" s="1766"/>
      <c r="AH45" s="1766"/>
      <c r="AI45" s="2740"/>
      <c r="AJ45" s="1766"/>
      <c r="AK45" s="1992"/>
      <c r="AL45" s="1993"/>
      <c r="AM45" s="1830"/>
      <c r="AN45" s="1830"/>
      <c r="AO45" s="1830"/>
      <c r="AP45" s="1830"/>
      <c r="AQ45" s="1830"/>
      <c r="AR45" s="1830"/>
      <c r="AS45" s="1830"/>
      <c r="AT45" s="1830"/>
      <c r="AU45" s="1830"/>
      <c r="AV45" s="1830"/>
      <c r="AW45" s="1830"/>
      <c r="AX45" s="1830"/>
      <c r="AY45" s="1830"/>
      <c r="AZ45" s="1830"/>
      <c r="BA45" s="1830"/>
      <c r="BB45" s="1830"/>
      <c r="BC45" s="1830"/>
      <c r="BD45" s="1830"/>
      <c r="BE45" s="1830"/>
      <c r="BF45" s="1830"/>
      <c r="BG45" s="1643"/>
    </row>
    <row customHeight="1" ht="11.25">
      <c r="A46" s="1174" t="s">
        <v>1040</v>
      </c>
      <c r="B46" s="1174"/>
      <c r="C46" s="1174"/>
      <c r="D46" s="1168"/>
      <c r="E46" s="1178"/>
      <c r="F46" s="1836"/>
      <c r="G46" s="1837"/>
      <c r="H46" s="2536" t="s">
        <v>91</v>
      </c>
      <c r="I46" s="2537"/>
      <c r="J46" s="2739"/>
      <c r="K46" s="2538"/>
      <c r="L46" s="2128"/>
      <c r="M46" s="2129"/>
      <c r="N46" s="2529"/>
      <c r="O46" s="2530"/>
      <c r="P46" s="2533"/>
      <c r="Q46" s="2735"/>
      <c r="R46" s="2534"/>
      <c r="S46" s="2535"/>
      <c r="T46" s="2534"/>
      <c r="U46" s="2534"/>
      <c r="V46" s="2534"/>
      <c r="W46" s="2534"/>
      <c r="X46" s="2534"/>
      <c r="Y46" s="2534"/>
      <c r="Z46" s="1183"/>
      <c r="AA46" s="1184"/>
      <c r="AB46" s="1249" t="s">
        <v>1086</v>
      </c>
      <c r="AC46" s="1188"/>
      <c r="AD46" s="1188"/>
      <c r="AE46" s="1190"/>
      <c r="AF46" s="2527"/>
      <c r="AG46" s="2528"/>
      <c r="AH46" s="2528"/>
      <c r="AI46" s="2734"/>
      <c r="AJ46" s="2528"/>
      <c r="AK46" s="2528"/>
      <c r="AL46" s="1993"/>
      <c r="AM46" s="1830"/>
      <c r="AN46" s="1830"/>
      <c r="AO46" s="1830"/>
      <c r="AP46" s="1830"/>
      <c r="AQ46" s="1830"/>
      <c r="AR46" s="1830"/>
      <c r="AS46" s="1830"/>
      <c r="AT46" s="1830"/>
      <c r="AU46" s="1830"/>
      <c r="AV46" s="1830"/>
      <c r="AW46" s="1830"/>
      <c r="AX46" s="1830"/>
      <c r="AY46" s="1830"/>
      <c r="AZ46" s="1830"/>
      <c r="BA46" s="1830"/>
      <c r="BB46" s="1830"/>
      <c r="BC46" s="1830"/>
      <c r="BD46" s="1830"/>
      <c r="BE46" s="1830"/>
      <c r="BF46" s="1830"/>
      <c r="BG46" s="1643"/>
    </row>
    <row customHeight="1" ht="11.25">
      <c r="A47" s="1174" t="s">
        <v>1040</v>
      </c>
      <c r="B47" s="1174"/>
      <c r="C47" s="1174"/>
      <c r="D47" s="1168"/>
      <c r="E47" s="1178"/>
      <c r="F47" s="1836"/>
      <c r="G47" s="1837"/>
      <c r="H47" s="2536" t="s">
        <v>91</v>
      </c>
      <c r="I47" s="2537"/>
      <c r="J47" s="2739"/>
      <c r="K47" s="2538"/>
      <c r="L47" s="2128"/>
      <c r="M47" s="2129"/>
      <c r="N47" s="1183"/>
      <c r="O47" s="1184"/>
      <c r="P47" s="1176" t="s">
        <v>1087</v>
      </c>
      <c r="Q47" s="1184"/>
      <c r="R47" s="1184"/>
      <c r="S47" s="1184"/>
      <c r="T47" s="1184"/>
      <c r="U47" s="1184"/>
      <c r="V47" s="1184"/>
      <c r="W47" s="1184"/>
      <c r="X47" s="1184"/>
      <c r="Y47" s="1184"/>
      <c r="Z47" s="1184"/>
      <c r="AA47" s="1184"/>
      <c r="AB47" s="1184"/>
      <c r="AC47" s="1184"/>
      <c r="AD47" s="1184"/>
      <c r="AE47" s="1191"/>
      <c r="AF47" s="2527"/>
      <c r="AG47" s="2528"/>
      <c r="AH47" s="2528"/>
      <c r="AI47" s="2734"/>
      <c r="AJ47" s="2528"/>
      <c r="AK47" s="2528"/>
      <c r="AL47" s="1993"/>
      <c r="AM47" s="1830"/>
      <c r="AN47" s="1830"/>
      <c r="AO47" s="1830"/>
      <c r="AP47" s="1830"/>
      <c r="AQ47" s="1830"/>
      <c r="AR47" s="1830"/>
      <c r="AS47" s="1830"/>
      <c r="AT47" s="1830"/>
      <c r="AU47" s="1830"/>
      <c r="AV47" s="1830"/>
      <c r="AW47" s="1830"/>
      <c r="AX47" s="1830"/>
      <c r="AY47" s="1830"/>
      <c r="AZ47" s="1830"/>
      <c r="BA47" s="1830"/>
      <c r="BB47" s="1830"/>
      <c r="BC47" s="1830"/>
      <c r="BD47" s="1830"/>
      <c r="BE47" s="1830"/>
      <c r="BF47" s="1830"/>
      <c r="BG47" s="1643"/>
    </row>
    <row customHeight="1" ht="11.25">
      <c r="A48" s="1174" t="s">
        <v>1040</v>
      </c>
      <c r="B48" s="1174" t="s">
        <v>1072</v>
      </c>
      <c r="C48" s="1174"/>
      <c r="D48" s="1168"/>
      <c r="E48" s="1178"/>
      <c r="F48" s="1836"/>
      <c r="G48" s="691" t="s">
        <v>103</v>
      </c>
      <c r="H48" s="2536" t="s">
        <v>92</v>
      </c>
      <c r="I48" s="2537" t="s">
        <v>1073</v>
      </c>
      <c r="J48" s="2506" t="s">
        <v>1102</v>
      </c>
      <c r="K48" s="2538" t="s">
        <v>1103</v>
      </c>
      <c r="L48" s="2128" t="s">
        <v>19</v>
      </c>
      <c r="M48" s="2129"/>
      <c r="N48" s="1991"/>
      <c r="O48" s="1185" t="s">
        <v>393</v>
      </c>
      <c r="P48" s="1186"/>
      <c r="Q48" s="1186"/>
      <c r="R48" s="1186"/>
      <c r="S48" s="1186"/>
      <c r="T48" s="1186"/>
      <c r="U48" s="1186"/>
      <c r="V48" s="1186"/>
      <c r="W48" s="1186"/>
      <c r="X48" s="1186"/>
      <c r="Y48" s="1186"/>
      <c r="Z48" s="1186"/>
      <c r="AA48" s="1186"/>
      <c r="AB48" s="1186"/>
      <c r="AC48" s="1186"/>
      <c r="AD48" s="1186"/>
      <c r="AE48" s="1186"/>
      <c r="AF48" s="2527">
        <v>1</v>
      </c>
      <c r="AG48" s="2528" t="s">
        <v>1100</v>
      </c>
      <c r="AH48" s="2528" t="s">
        <v>1091</v>
      </c>
      <c r="AI48" s="2527">
        <v>1</v>
      </c>
      <c r="AJ48" s="2528" t="s">
        <v>1100</v>
      </c>
      <c r="AK48" s="2528" t="s">
        <v>1091</v>
      </c>
      <c r="AL48" s="1993"/>
      <c r="AM48" s="1830"/>
      <c r="AN48" s="1830"/>
      <c r="AO48" s="1830"/>
      <c r="AP48" s="1830"/>
      <c r="AQ48" s="1830"/>
      <c r="AR48" s="1830"/>
      <c r="AS48" s="1830"/>
      <c r="AT48" s="1830"/>
      <c r="AU48" s="1830"/>
      <c r="AV48" s="1830"/>
      <c r="AW48" s="1830"/>
      <c r="AX48" s="1830"/>
      <c r="AY48" s="1830"/>
      <c r="AZ48" s="1830"/>
      <c r="BA48" s="1830"/>
      <c r="BB48" s="1830"/>
      <c r="BC48" s="1830"/>
      <c r="BD48" s="1830"/>
      <c r="BE48" s="1830"/>
      <c r="BF48" s="1830"/>
      <c r="BG48" s="1643"/>
    </row>
    <row customHeight="1" ht="11.25">
      <c r="A49" s="1174" t="s">
        <v>1040</v>
      </c>
      <c r="B49" s="1174"/>
      <c r="C49" s="1174"/>
      <c r="D49" s="1168"/>
      <c r="E49" s="1178"/>
      <c r="F49" s="1836"/>
      <c r="G49" s="1837"/>
      <c r="H49" s="2536" t="s">
        <v>119</v>
      </c>
      <c r="I49" s="2537"/>
      <c r="J49" s="2506"/>
      <c r="K49" s="2538"/>
      <c r="L49" s="2128"/>
      <c r="M49" s="2129"/>
      <c r="N49" s="2529"/>
      <c r="O49" s="2530">
        <v>1</v>
      </c>
      <c r="P49" s="2531" t="s">
        <v>61</v>
      </c>
      <c r="Q49" s="2735" t="s">
        <v>1079</v>
      </c>
      <c r="R49" s="2736" t="s">
        <v>1080</v>
      </c>
      <c r="S49" s="2736" t="s">
        <v>99</v>
      </c>
      <c r="T49" s="2736" t="s">
        <v>99</v>
      </c>
      <c r="U49" s="2736" t="s">
        <v>100</v>
      </c>
      <c r="V49" s="2736" t="s">
        <v>1081</v>
      </c>
      <c r="W49" s="2736" t="s">
        <v>1082</v>
      </c>
      <c r="X49" s="2736" t="s">
        <v>1083</v>
      </c>
      <c r="Y49" s="2736" t="s">
        <v>1084</v>
      </c>
      <c r="Z49" s="1183"/>
      <c r="AA49" s="1184"/>
      <c r="AB49" s="1184"/>
      <c r="AC49" s="1188"/>
      <c r="AD49" s="1188"/>
      <c r="AE49" s="1189"/>
      <c r="AF49" s="2527"/>
      <c r="AG49" s="2528"/>
      <c r="AH49" s="2528"/>
      <c r="AI49" s="2527"/>
      <c r="AJ49" s="2528"/>
      <c r="AK49" s="2528"/>
      <c r="AL49" s="1993"/>
      <c r="AM49" s="1830"/>
      <c r="AN49" s="1830"/>
      <c r="AO49" s="1830"/>
      <c r="AP49" s="1830"/>
      <c r="AQ49" s="1830"/>
      <c r="AR49" s="1830"/>
      <c r="AS49" s="1830"/>
      <c r="AT49" s="1830"/>
      <c r="AU49" s="1830"/>
      <c r="AV49" s="1830"/>
      <c r="AW49" s="1830"/>
      <c r="AX49" s="1830"/>
      <c r="AY49" s="1830"/>
      <c r="AZ49" s="1830"/>
      <c r="BA49" s="1830"/>
      <c r="BB49" s="1830"/>
      <c r="BC49" s="1830"/>
      <c r="BD49" s="1830"/>
      <c r="BE49" s="1830"/>
      <c r="BF49" s="1830"/>
      <c r="BG49" s="1643"/>
    </row>
    <row customHeight="1" ht="11.25">
      <c r="A50" s="1174" t="s">
        <v>1040</v>
      </c>
      <c r="B50" s="1174"/>
      <c r="C50" s="1174"/>
      <c r="D50" s="1168"/>
      <c r="E50" s="1178"/>
      <c r="F50" s="1836"/>
      <c r="G50" s="1837"/>
      <c r="H50" s="2536" t="s">
        <v>119</v>
      </c>
      <c r="I50" s="2537"/>
      <c r="J50" s="2506"/>
      <c r="K50" s="2538"/>
      <c r="L50" s="2128"/>
      <c r="M50" s="2129"/>
      <c r="N50" s="2529"/>
      <c r="O50" s="2530"/>
      <c r="P50" s="2532"/>
      <c r="Q50" s="2735"/>
      <c r="R50" s="2534"/>
      <c r="S50" s="2535"/>
      <c r="T50" s="2534"/>
      <c r="U50" s="2534"/>
      <c r="V50" s="2534"/>
      <c r="W50" s="2534"/>
      <c r="X50" s="2534"/>
      <c r="Y50" s="2534"/>
      <c r="Z50" s="1835"/>
      <c r="AA50" s="1801">
        <v>1</v>
      </c>
      <c r="AB50" s="1187" t="s">
        <v>1094</v>
      </c>
      <c r="AC50" s="1177">
        <v>10199.48</v>
      </c>
      <c r="AD50" s="1187" t="str">
        <f>AB50</f>
        <v>      Амортизационные отчисления с выделением результатов переоценки основных средств и нематериальных активов</v>
      </c>
      <c r="AE50" s="1177">
        <v>9160</v>
      </c>
      <c r="AF50" s="2527"/>
      <c r="AG50" s="2528"/>
      <c r="AH50" s="2528"/>
      <c r="AI50" s="2527"/>
      <c r="AJ50" s="2528"/>
      <c r="AK50" s="2528"/>
      <c r="AL50" s="1993"/>
      <c r="AM50" s="1830"/>
      <c r="AN50" s="1830"/>
      <c r="AO50" s="1830"/>
      <c r="AP50" s="1830"/>
      <c r="AQ50" s="1830"/>
      <c r="AR50" s="1830"/>
      <c r="AS50" s="1830"/>
      <c r="AT50" s="1830"/>
      <c r="AU50" s="1830"/>
      <c r="AV50" s="1830"/>
      <c r="AW50" s="1830"/>
      <c r="AX50" s="1830"/>
      <c r="AY50" s="1830"/>
      <c r="AZ50" s="1830"/>
      <c r="BA50" s="1830"/>
      <c r="BB50" s="1830"/>
      <c r="BC50" s="1830"/>
      <c r="BD50" s="1830"/>
      <c r="BE50" s="1830"/>
      <c r="BF50" s="1830"/>
      <c r="BG50" s="1643"/>
    </row>
    <row customHeight="1" ht="11.25">
      <c r="A51" s="1174" t="s">
        <v>1040</v>
      </c>
      <c r="B51" s="1174"/>
      <c r="C51" s="1174"/>
      <c r="D51" s="1168"/>
      <c r="E51" s="1178"/>
      <c r="F51" s="1837"/>
      <c r="G51" s="1837"/>
      <c r="H51" s="1837"/>
      <c r="I51" s="1837"/>
      <c r="J51" s="1837"/>
      <c r="K51" s="1837"/>
      <c r="L51" s="1837"/>
      <c r="M51" s="1837"/>
      <c r="N51" s="1837"/>
      <c r="O51" s="1837"/>
      <c r="P51" s="1837"/>
      <c r="Q51" s="1837"/>
      <c r="R51" s="1837"/>
      <c r="S51" s="1837"/>
      <c r="T51" s="1837"/>
      <c r="U51" s="1837"/>
      <c r="V51" s="1837"/>
      <c r="W51" s="1837"/>
      <c r="X51" s="1837"/>
      <c r="Y51" s="1837"/>
      <c r="Z51" s="691" t="s">
        <v>103</v>
      </c>
      <c r="AA51" s="1821" t="s">
        <v>102</v>
      </c>
      <c r="AB51" s="1187" t="s">
        <v>1085</v>
      </c>
      <c r="AC51" s="1177">
        <v>2039.9</v>
      </c>
      <c r="AD51" s="1187" t="str">
        <f>AB51</f>
        <v>  Прочие собственные средства</v>
      </c>
      <c r="AE51" s="1177">
        <v>1832</v>
      </c>
      <c r="AF51" s="2094"/>
      <c r="AG51" s="1766"/>
      <c r="AH51" s="1766"/>
      <c r="AI51" s="2094"/>
      <c r="AJ51" s="1766"/>
      <c r="AK51" s="1992"/>
      <c r="AL51" s="1993"/>
      <c r="AM51" s="1830"/>
      <c r="AN51" s="1830"/>
      <c r="AO51" s="1830"/>
      <c r="AP51" s="1830"/>
      <c r="AQ51" s="1830"/>
      <c r="AR51" s="1830"/>
      <c r="AS51" s="1830"/>
      <c r="AT51" s="1830"/>
      <c r="AU51" s="1830"/>
      <c r="AV51" s="1830"/>
      <c r="AW51" s="1830"/>
      <c r="AX51" s="1830"/>
      <c r="AY51" s="1830"/>
      <c r="AZ51" s="1830"/>
      <c r="BA51" s="1830"/>
      <c r="BB51" s="1830"/>
      <c r="BC51" s="1830"/>
      <c r="BD51" s="1830"/>
      <c r="BE51" s="1830"/>
      <c r="BF51" s="1830"/>
      <c r="BG51" s="1643"/>
    </row>
    <row customHeight="1" ht="11.25">
      <c r="A52" s="1174" t="s">
        <v>1040</v>
      </c>
      <c r="B52" s="1174"/>
      <c r="C52" s="1174"/>
      <c r="D52" s="1168"/>
      <c r="E52" s="1178"/>
      <c r="F52" s="1836"/>
      <c r="G52" s="1837"/>
      <c r="H52" s="2536" t="s">
        <v>119</v>
      </c>
      <c r="I52" s="2537"/>
      <c r="J52" s="2506"/>
      <c r="K52" s="2538"/>
      <c r="L52" s="2128"/>
      <c r="M52" s="2129"/>
      <c r="N52" s="2529"/>
      <c r="O52" s="2530"/>
      <c r="P52" s="2533"/>
      <c r="Q52" s="2735"/>
      <c r="R52" s="2534"/>
      <c r="S52" s="2535"/>
      <c r="T52" s="2534"/>
      <c r="U52" s="2534"/>
      <c r="V52" s="2534"/>
      <c r="W52" s="2534"/>
      <c r="X52" s="2534"/>
      <c r="Y52" s="2534"/>
      <c r="Z52" s="1183"/>
      <c r="AA52" s="1184"/>
      <c r="AB52" s="1249" t="s">
        <v>1086</v>
      </c>
      <c r="AC52" s="1188"/>
      <c r="AD52" s="1188"/>
      <c r="AE52" s="1190"/>
      <c r="AF52" s="2527"/>
      <c r="AG52" s="2528"/>
      <c r="AH52" s="2528"/>
      <c r="AI52" s="2527"/>
      <c r="AJ52" s="2528"/>
      <c r="AK52" s="2528"/>
      <c r="AL52" s="1993"/>
      <c r="AM52" s="1830"/>
      <c r="AN52" s="1830"/>
      <c r="AO52" s="1830"/>
      <c r="AP52" s="1830"/>
      <c r="AQ52" s="1830"/>
      <c r="AR52" s="1830"/>
      <c r="AS52" s="1830"/>
      <c r="AT52" s="1830"/>
      <c r="AU52" s="1830"/>
      <c r="AV52" s="1830"/>
      <c r="AW52" s="1830"/>
      <c r="AX52" s="1830"/>
      <c r="AY52" s="1830"/>
      <c r="AZ52" s="1830"/>
      <c r="BA52" s="1830"/>
      <c r="BB52" s="1830"/>
      <c r="BC52" s="1830"/>
      <c r="BD52" s="1830"/>
      <c r="BE52" s="1830"/>
      <c r="BF52" s="1830"/>
      <c r="BG52" s="1643"/>
    </row>
    <row customHeight="1" ht="11.25">
      <c r="A53" s="1174" t="s">
        <v>1040</v>
      </c>
      <c r="B53" s="1174"/>
      <c r="C53" s="1174"/>
      <c r="D53" s="1168"/>
      <c r="E53" s="1178"/>
      <c r="F53" s="1836"/>
      <c r="G53" s="1837"/>
      <c r="H53" s="2536" t="s">
        <v>119</v>
      </c>
      <c r="I53" s="2537"/>
      <c r="J53" s="2506"/>
      <c r="K53" s="2538"/>
      <c r="L53" s="2128"/>
      <c r="M53" s="2129"/>
      <c r="N53" s="1183"/>
      <c r="O53" s="1184"/>
      <c r="P53" s="1176" t="s">
        <v>1087</v>
      </c>
      <c r="Q53" s="1184"/>
      <c r="R53" s="1184"/>
      <c r="S53" s="1184"/>
      <c r="T53" s="1184"/>
      <c r="U53" s="1184"/>
      <c r="V53" s="1184"/>
      <c r="W53" s="1184"/>
      <c r="X53" s="1184"/>
      <c r="Y53" s="1184"/>
      <c r="Z53" s="1184"/>
      <c r="AA53" s="1184"/>
      <c r="AB53" s="1184"/>
      <c r="AC53" s="1184"/>
      <c r="AD53" s="1184"/>
      <c r="AE53" s="1191"/>
      <c r="AF53" s="2527"/>
      <c r="AG53" s="2528"/>
      <c r="AH53" s="2528"/>
      <c r="AI53" s="2527"/>
      <c r="AJ53" s="2528"/>
      <c r="AK53" s="2528"/>
      <c r="AL53" s="1993"/>
      <c r="AM53" s="1830"/>
      <c r="AN53" s="1830"/>
      <c r="AO53" s="1830"/>
      <c r="AP53" s="1830"/>
      <c r="AQ53" s="1830"/>
      <c r="AR53" s="1830"/>
      <c r="AS53" s="1830"/>
      <c r="AT53" s="1830"/>
      <c r="AU53" s="1830"/>
      <c r="AV53" s="1830"/>
      <c r="AW53" s="1830"/>
      <c r="AX53" s="1830"/>
      <c r="AY53" s="1830"/>
      <c r="AZ53" s="1830"/>
      <c r="BA53" s="1830"/>
      <c r="BB53" s="1830"/>
      <c r="BC53" s="1830"/>
      <c r="BD53" s="1830"/>
      <c r="BE53" s="1830"/>
      <c r="BF53" s="1830"/>
      <c r="BG53" s="1643"/>
    </row>
    <row customHeight="1" ht="11.25">
      <c r="A54" s="1174" t="s">
        <v>1040</v>
      </c>
      <c r="B54" s="1174" t="s">
        <v>1072</v>
      </c>
      <c r="C54" s="1174"/>
      <c r="D54" s="1168"/>
      <c r="E54" s="1178"/>
      <c r="F54" s="1836"/>
      <c r="G54" s="691" t="s">
        <v>103</v>
      </c>
      <c r="H54" s="2536" t="s">
        <v>93</v>
      </c>
      <c r="I54" s="2537" t="s">
        <v>1073</v>
      </c>
      <c r="J54" s="2506" t="s">
        <v>1102</v>
      </c>
      <c r="K54" s="2538" t="s">
        <v>1104</v>
      </c>
      <c r="L54" s="2128" t="s">
        <v>19</v>
      </c>
      <c r="M54" s="2129"/>
      <c r="N54" s="1991"/>
      <c r="O54" s="1185" t="s">
        <v>393</v>
      </c>
      <c r="P54" s="1186"/>
      <c r="Q54" s="1186"/>
      <c r="R54" s="1186"/>
      <c r="S54" s="1186"/>
      <c r="T54" s="1186"/>
      <c r="U54" s="1186"/>
      <c r="V54" s="1186"/>
      <c r="W54" s="1186"/>
      <c r="X54" s="1186"/>
      <c r="Y54" s="1186"/>
      <c r="Z54" s="1186"/>
      <c r="AA54" s="1186"/>
      <c r="AB54" s="1186"/>
      <c r="AC54" s="1186"/>
      <c r="AD54" s="1186"/>
      <c r="AE54" s="1186"/>
      <c r="AF54" s="2527">
        <v>2</v>
      </c>
      <c r="AG54" s="2528" t="s">
        <v>1076</v>
      </c>
      <c r="AH54" s="2528" t="s">
        <v>1101</v>
      </c>
      <c r="AI54" s="2527">
        <v>1</v>
      </c>
      <c r="AJ54" s="2528" t="s">
        <v>1105</v>
      </c>
      <c r="AK54" s="2528" t="s">
        <v>1091</v>
      </c>
      <c r="AL54" s="1993"/>
      <c r="AM54" s="1830"/>
      <c r="AN54" s="1830"/>
      <c r="AO54" s="1830"/>
      <c r="AP54" s="1830"/>
      <c r="AQ54" s="1830"/>
      <c r="AR54" s="1830"/>
      <c r="AS54" s="1830"/>
      <c r="AT54" s="1830"/>
      <c r="AU54" s="1830"/>
      <c r="AV54" s="1830"/>
      <c r="AW54" s="1830"/>
      <c r="AX54" s="1830"/>
      <c r="AY54" s="1830"/>
      <c r="AZ54" s="1830"/>
      <c r="BA54" s="1830"/>
      <c r="BB54" s="1830"/>
      <c r="BC54" s="1830"/>
      <c r="BD54" s="1830"/>
      <c r="BE54" s="1830"/>
      <c r="BF54" s="1830"/>
      <c r="BG54" s="1643"/>
    </row>
    <row customHeight="1" ht="11.25">
      <c r="A55" s="1174" t="s">
        <v>1040</v>
      </c>
      <c r="B55" s="1174"/>
      <c r="C55" s="1174"/>
      <c r="D55" s="1168"/>
      <c r="E55" s="1178"/>
      <c r="F55" s="1836"/>
      <c r="G55" s="1837"/>
      <c r="H55" s="2536" t="s">
        <v>92</v>
      </c>
      <c r="I55" s="2537"/>
      <c r="J55" s="2506"/>
      <c r="K55" s="2538"/>
      <c r="L55" s="2128"/>
      <c r="M55" s="2129"/>
      <c r="N55" s="2529"/>
      <c r="O55" s="2530">
        <v>1</v>
      </c>
      <c r="P55" s="2531" t="s">
        <v>61</v>
      </c>
      <c r="Q55" s="2735" t="s">
        <v>1106</v>
      </c>
      <c r="R55" s="2736" t="s">
        <v>1080</v>
      </c>
      <c r="S55" s="2736" t="s">
        <v>106</v>
      </c>
      <c r="T55" s="2736" t="s">
        <v>106</v>
      </c>
      <c r="U55" s="2736" t="s">
        <v>107</v>
      </c>
      <c r="V55" s="2736" t="s">
        <v>1107</v>
      </c>
      <c r="W55" s="2736" t="s">
        <v>1108</v>
      </c>
      <c r="X55" s="2736" t="s">
        <v>1109</v>
      </c>
      <c r="Y55" s="2736" t="s">
        <v>120</v>
      </c>
      <c r="Z55" s="1183"/>
      <c r="AA55" s="1184"/>
      <c r="AB55" s="1184"/>
      <c r="AC55" s="1188"/>
      <c r="AD55" s="1188"/>
      <c r="AE55" s="1189"/>
      <c r="AF55" s="2527"/>
      <c r="AG55" s="2528"/>
      <c r="AH55" s="2528"/>
      <c r="AI55" s="2527"/>
      <c r="AJ55" s="2528"/>
      <c r="AK55" s="2528"/>
      <c r="AL55" s="1993"/>
      <c r="AM55" s="1830"/>
      <c r="AN55" s="1830"/>
      <c r="AO55" s="1830"/>
      <c r="AP55" s="1830"/>
      <c r="AQ55" s="1830"/>
      <c r="AR55" s="1830"/>
      <c r="AS55" s="1830"/>
      <c r="AT55" s="1830"/>
      <c r="AU55" s="1830"/>
      <c r="AV55" s="1830"/>
      <c r="AW55" s="1830"/>
      <c r="AX55" s="1830"/>
      <c r="AY55" s="1830"/>
      <c r="AZ55" s="1830"/>
      <c r="BA55" s="1830"/>
      <c r="BB55" s="1830"/>
      <c r="BC55" s="1830"/>
      <c r="BD55" s="1830"/>
      <c r="BE55" s="1830"/>
      <c r="BF55" s="1830"/>
      <c r="BG55" s="1643"/>
    </row>
    <row customHeight="1" ht="11.25">
      <c r="A56" s="1174" t="s">
        <v>1040</v>
      </c>
      <c r="B56" s="1174"/>
      <c r="C56" s="1174"/>
      <c r="D56" s="1168"/>
      <c r="E56" s="1178"/>
      <c r="F56" s="1836"/>
      <c r="G56" s="1837"/>
      <c r="H56" s="2536" t="s">
        <v>92</v>
      </c>
      <c r="I56" s="2537"/>
      <c r="J56" s="2506"/>
      <c r="K56" s="2538"/>
      <c r="L56" s="2128"/>
      <c r="M56" s="2129"/>
      <c r="N56" s="2529"/>
      <c r="O56" s="2530"/>
      <c r="P56" s="2532"/>
      <c r="Q56" s="2735"/>
      <c r="R56" s="2534"/>
      <c r="S56" s="2535"/>
      <c r="T56" s="2534"/>
      <c r="U56" s="2534"/>
      <c r="V56" s="2534"/>
      <c r="W56" s="2534"/>
      <c r="X56" s="2534"/>
      <c r="Y56" s="2534"/>
      <c r="Z56" s="1835"/>
      <c r="AA56" s="1801">
        <v>1</v>
      </c>
      <c r="AB56" s="1187" t="s">
        <v>1085</v>
      </c>
      <c r="AC56" s="1177">
        <v>80653.42</v>
      </c>
      <c r="AD56" s="1187" t="str">
        <f>AB56</f>
        <v>  Прочие собственные средства</v>
      </c>
      <c r="AE56" s="1177">
        <v>67560.83377</v>
      </c>
      <c r="AF56" s="2527"/>
      <c r="AG56" s="2528"/>
      <c r="AH56" s="2528"/>
      <c r="AI56" s="2527"/>
      <c r="AJ56" s="2528"/>
      <c r="AK56" s="2528"/>
      <c r="AL56" s="1993"/>
      <c r="AM56" s="1830"/>
      <c r="AN56" s="1830"/>
      <c r="AO56" s="1830"/>
      <c r="AP56" s="1830"/>
      <c r="AQ56" s="1830"/>
      <c r="AR56" s="1830"/>
      <c r="AS56" s="1830"/>
      <c r="AT56" s="1830"/>
      <c r="AU56" s="1830"/>
      <c r="AV56" s="1830"/>
      <c r="AW56" s="1830"/>
      <c r="AX56" s="1830"/>
      <c r="AY56" s="1830"/>
      <c r="AZ56" s="1830"/>
      <c r="BA56" s="1830"/>
      <c r="BB56" s="1830"/>
      <c r="BC56" s="1830"/>
      <c r="BD56" s="1830"/>
      <c r="BE56" s="1830"/>
      <c r="BF56" s="1830"/>
      <c r="BG56" s="1643"/>
    </row>
    <row customHeight="1" ht="11.25">
      <c r="A57" s="1174" t="s">
        <v>1040</v>
      </c>
      <c r="B57" s="1174"/>
      <c r="C57" s="1174"/>
      <c r="D57" s="1168"/>
      <c r="E57" s="1178"/>
      <c r="F57" s="1836"/>
      <c r="G57" s="1837"/>
      <c r="H57" s="2536" t="s">
        <v>92</v>
      </c>
      <c r="I57" s="2537"/>
      <c r="J57" s="2506"/>
      <c r="K57" s="2538"/>
      <c r="L57" s="2128"/>
      <c r="M57" s="2129"/>
      <c r="N57" s="2529"/>
      <c r="O57" s="2530"/>
      <c r="P57" s="2533"/>
      <c r="Q57" s="2735"/>
      <c r="R57" s="2534"/>
      <c r="S57" s="2535"/>
      <c r="T57" s="2534"/>
      <c r="U57" s="2534"/>
      <c r="V57" s="2534"/>
      <c r="W57" s="2534"/>
      <c r="X57" s="2534"/>
      <c r="Y57" s="2534"/>
      <c r="Z57" s="1183"/>
      <c r="AA57" s="1184"/>
      <c r="AB57" s="1249" t="s">
        <v>1086</v>
      </c>
      <c r="AC57" s="1188"/>
      <c r="AD57" s="1188"/>
      <c r="AE57" s="1190"/>
      <c r="AF57" s="2527"/>
      <c r="AG57" s="2528"/>
      <c r="AH57" s="2528"/>
      <c r="AI57" s="2527"/>
      <c r="AJ57" s="2528"/>
      <c r="AK57" s="2528"/>
      <c r="AL57" s="1993"/>
      <c r="AM57" s="1830"/>
      <c r="AN57" s="1830"/>
      <c r="AO57" s="1830"/>
      <c r="AP57" s="1830"/>
      <c r="AQ57" s="1830"/>
      <c r="AR57" s="1830"/>
      <c r="AS57" s="1830"/>
      <c r="AT57" s="1830"/>
      <c r="AU57" s="1830"/>
      <c r="AV57" s="1830"/>
      <c r="AW57" s="1830"/>
      <c r="AX57" s="1830"/>
      <c r="AY57" s="1830"/>
      <c r="AZ57" s="1830"/>
      <c r="BA57" s="1830"/>
      <c r="BB57" s="1830"/>
      <c r="BC57" s="1830"/>
      <c r="BD57" s="1830"/>
      <c r="BE57" s="1830"/>
      <c r="BF57" s="1830"/>
      <c r="BG57" s="1643"/>
    </row>
    <row customHeight="1" ht="11.25">
      <c r="A58" s="1174" t="s">
        <v>1040</v>
      </c>
      <c r="B58" s="1174"/>
      <c r="C58" s="1174"/>
      <c r="D58" s="1168"/>
      <c r="E58" s="1178"/>
      <c r="F58" s="1836"/>
      <c r="G58" s="1837"/>
      <c r="H58" s="2536" t="s">
        <v>92</v>
      </c>
      <c r="I58" s="2537"/>
      <c r="J58" s="2506"/>
      <c r="K58" s="2538"/>
      <c r="L58" s="2128"/>
      <c r="M58" s="2129"/>
      <c r="N58" s="1183"/>
      <c r="O58" s="1184"/>
      <c r="P58" s="1176" t="s">
        <v>1087</v>
      </c>
      <c r="Q58" s="1184"/>
      <c r="R58" s="1184"/>
      <c r="S58" s="1184"/>
      <c r="T58" s="1184"/>
      <c r="U58" s="1184"/>
      <c r="V58" s="1184"/>
      <c r="W58" s="1184"/>
      <c r="X58" s="1184"/>
      <c r="Y58" s="1184"/>
      <c r="Z58" s="1184"/>
      <c r="AA58" s="1184"/>
      <c r="AB58" s="1184"/>
      <c r="AC58" s="1184"/>
      <c r="AD58" s="1184"/>
      <c r="AE58" s="1191"/>
      <c r="AF58" s="2527"/>
      <c r="AG58" s="2528"/>
      <c r="AH58" s="2528"/>
      <c r="AI58" s="2527"/>
      <c r="AJ58" s="2528"/>
      <c r="AK58" s="2528"/>
      <c r="AL58" s="1993"/>
      <c r="AM58" s="1830"/>
      <c r="AN58" s="1830"/>
      <c r="AO58" s="1830"/>
      <c r="AP58" s="1830"/>
      <c r="AQ58" s="1830"/>
      <c r="AR58" s="1830"/>
      <c r="AS58" s="1830"/>
      <c r="AT58" s="1830"/>
      <c r="AU58" s="1830"/>
      <c r="AV58" s="1830"/>
      <c r="AW58" s="1830"/>
      <c r="AX58" s="1830"/>
      <c r="AY58" s="1830"/>
      <c r="AZ58" s="1830"/>
      <c r="BA58" s="1830"/>
      <c r="BB58" s="1830"/>
      <c r="BC58" s="1830"/>
      <c r="BD58" s="1830"/>
      <c r="BE58" s="1830"/>
      <c r="BF58" s="1830"/>
      <c r="BG58" s="1643"/>
    </row>
    <row customHeight="1" ht="11.25">
      <c r="A59" s="1174" t="s">
        <v>1040</v>
      </c>
      <c r="B59" s="1174" t="s">
        <v>1072</v>
      </c>
      <c r="C59" s="1174"/>
      <c r="D59" s="1168"/>
      <c r="E59" s="1178"/>
      <c r="F59" s="1836"/>
      <c r="G59" s="691" t="s">
        <v>103</v>
      </c>
      <c r="H59" s="2536" t="s">
        <v>120</v>
      </c>
      <c r="I59" s="2537" t="s">
        <v>1073</v>
      </c>
      <c r="J59" s="2506" t="s">
        <v>1102</v>
      </c>
      <c r="K59" s="2538" t="s">
        <v>1110</v>
      </c>
      <c r="L59" s="2128" t="s">
        <v>19</v>
      </c>
      <c r="M59" s="2129"/>
      <c r="N59" s="1991"/>
      <c r="O59" s="1185" t="s">
        <v>393</v>
      </c>
      <c r="P59" s="1186"/>
      <c r="Q59" s="1186"/>
      <c r="R59" s="1186"/>
      <c r="S59" s="1186"/>
      <c r="T59" s="1186"/>
      <c r="U59" s="1186"/>
      <c r="V59" s="1186"/>
      <c r="W59" s="1186"/>
      <c r="X59" s="1186"/>
      <c r="Y59" s="1186"/>
      <c r="Z59" s="1186"/>
      <c r="AA59" s="1186"/>
      <c r="AB59" s="1186"/>
      <c r="AC59" s="1186"/>
      <c r="AD59" s="1186"/>
      <c r="AE59" s="1186"/>
      <c r="AF59" s="2527">
        <v>1</v>
      </c>
      <c r="AG59" s="2528" t="s">
        <v>1076</v>
      </c>
      <c r="AH59" s="2528" t="s">
        <v>1091</v>
      </c>
      <c r="AI59" s="2527">
        <v>1</v>
      </c>
      <c r="AJ59" s="2528" t="s">
        <v>1076</v>
      </c>
      <c r="AK59" s="2528" t="s">
        <v>1091</v>
      </c>
      <c r="AL59" s="1993"/>
      <c r="AM59" s="1830"/>
      <c r="AN59" s="1830"/>
      <c r="AO59" s="1830"/>
      <c r="AP59" s="1830"/>
      <c r="AQ59" s="1830"/>
      <c r="AR59" s="1830"/>
      <c r="AS59" s="1830"/>
      <c r="AT59" s="1830"/>
      <c r="AU59" s="1830"/>
      <c r="AV59" s="1830"/>
      <c r="AW59" s="1830"/>
      <c r="AX59" s="1830"/>
      <c r="AY59" s="1830"/>
      <c r="AZ59" s="1830"/>
      <c r="BA59" s="1830"/>
      <c r="BB59" s="1830"/>
      <c r="BC59" s="1830"/>
      <c r="BD59" s="1830"/>
      <c r="BE59" s="1830"/>
      <c r="BF59" s="1830"/>
      <c r="BG59" s="1643"/>
    </row>
    <row customHeight="1" ht="11.25">
      <c r="A60" s="1174" t="s">
        <v>1040</v>
      </c>
      <c r="B60" s="1174"/>
      <c r="C60" s="1174"/>
      <c r="D60" s="1168"/>
      <c r="E60" s="1178"/>
      <c r="F60" s="1836"/>
      <c r="G60" s="1837"/>
      <c r="H60" s="2536" t="s">
        <v>93</v>
      </c>
      <c r="I60" s="2537"/>
      <c r="J60" s="2506"/>
      <c r="K60" s="2538"/>
      <c r="L60" s="2128"/>
      <c r="M60" s="2129"/>
      <c r="N60" s="2529"/>
      <c r="O60" s="2530">
        <v>1</v>
      </c>
      <c r="P60" s="2531" t="s">
        <v>61</v>
      </c>
      <c r="Q60" s="2735" t="s">
        <v>1079</v>
      </c>
      <c r="R60" s="2736" t="s">
        <v>1080</v>
      </c>
      <c r="S60" s="2736" t="s">
        <v>99</v>
      </c>
      <c r="T60" s="2736" t="s">
        <v>99</v>
      </c>
      <c r="U60" s="2736" t="s">
        <v>100</v>
      </c>
      <c r="V60" s="2736" t="s">
        <v>1081</v>
      </c>
      <c r="W60" s="2736" t="s">
        <v>1082</v>
      </c>
      <c r="X60" s="2736" t="s">
        <v>1083</v>
      </c>
      <c r="Y60" s="2736" t="s">
        <v>1084</v>
      </c>
      <c r="Z60" s="1183"/>
      <c r="AA60" s="1184"/>
      <c r="AB60" s="1184"/>
      <c r="AC60" s="1188"/>
      <c r="AD60" s="1188"/>
      <c r="AE60" s="1189"/>
      <c r="AF60" s="2527"/>
      <c r="AG60" s="2528"/>
      <c r="AH60" s="2528"/>
      <c r="AI60" s="2527"/>
      <c r="AJ60" s="2528"/>
      <c r="AK60" s="2528"/>
      <c r="AL60" s="1993"/>
      <c r="AM60" s="1830"/>
      <c r="AN60" s="1830"/>
      <c r="AO60" s="1830"/>
      <c r="AP60" s="1830"/>
      <c r="AQ60" s="1830"/>
      <c r="AR60" s="1830"/>
      <c r="AS60" s="1830"/>
      <c r="AT60" s="1830"/>
      <c r="AU60" s="1830"/>
      <c r="AV60" s="1830"/>
      <c r="AW60" s="1830"/>
      <c r="AX60" s="1830"/>
      <c r="AY60" s="1830"/>
      <c r="AZ60" s="1830"/>
      <c r="BA60" s="1830"/>
      <c r="BB60" s="1830"/>
      <c r="BC60" s="1830"/>
      <c r="BD60" s="1830"/>
      <c r="BE60" s="1830"/>
      <c r="BF60" s="1830"/>
      <c r="BG60" s="1643"/>
    </row>
    <row customHeight="1" ht="11.25">
      <c r="A61" s="1174" t="s">
        <v>1040</v>
      </c>
      <c r="B61" s="1174"/>
      <c r="C61" s="1174"/>
      <c r="D61" s="1168"/>
      <c r="E61" s="1178"/>
      <c r="F61" s="1836"/>
      <c r="G61" s="1837"/>
      <c r="H61" s="2536" t="s">
        <v>93</v>
      </c>
      <c r="I61" s="2537"/>
      <c r="J61" s="2506"/>
      <c r="K61" s="2538"/>
      <c r="L61" s="2128"/>
      <c r="M61" s="2129"/>
      <c r="N61" s="2529"/>
      <c r="O61" s="2530"/>
      <c r="P61" s="2532"/>
      <c r="Q61" s="2735"/>
      <c r="R61" s="2534"/>
      <c r="S61" s="2535"/>
      <c r="T61" s="2534"/>
      <c r="U61" s="2534"/>
      <c r="V61" s="2534"/>
      <c r="W61" s="2534"/>
      <c r="X61" s="2534"/>
      <c r="Y61" s="2534"/>
      <c r="Z61" s="1835"/>
      <c r="AA61" s="1801">
        <v>1</v>
      </c>
      <c r="AB61" s="1187" t="s">
        <v>1085</v>
      </c>
      <c r="AC61" s="1177">
        <v>5362.44</v>
      </c>
      <c r="AD61" s="1187" t="str">
        <f>AB61</f>
        <v>  Прочие собственные средства</v>
      </c>
      <c r="AE61" s="1177">
        <v>4039.4</v>
      </c>
      <c r="AF61" s="2527"/>
      <c r="AG61" s="2528"/>
      <c r="AH61" s="2528"/>
      <c r="AI61" s="2527"/>
      <c r="AJ61" s="2528"/>
      <c r="AK61" s="2528"/>
      <c r="AL61" s="1993"/>
      <c r="AM61" s="1830"/>
      <c r="AN61" s="1830"/>
      <c r="AO61" s="1830"/>
      <c r="AP61" s="1830"/>
      <c r="AQ61" s="1830"/>
      <c r="AR61" s="1830"/>
      <c r="AS61" s="1830"/>
      <c r="AT61" s="1830"/>
      <c r="AU61" s="1830"/>
      <c r="AV61" s="1830"/>
      <c r="AW61" s="1830"/>
      <c r="AX61" s="1830"/>
      <c r="AY61" s="1830"/>
      <c r="AZ61" s="1830"/>
      <c r="BA61" s="1830"/>
      <c r="BB61" s="1830"/>
      <c r="BC61" s="1830"/>
      <c r="BD61" s="1830"/>
      <c r="BE61" s="1830"/>
      <c r="BF61" s="1830"/>
      <c r="BG61" s="1643"/>
    </row>
    <row customHeight="1" ht="11.25">
      <c r="A62" s="1174" t="s">
        <v>1040</v>
      </c>
      <c r="B62" s="1174"/>
      <c r="C62" s="1174"/>
      <c r="D62" s="1168"/>
      <c r="E62" s="1178"/>
      <c r="F62" s="1836"/>
      <c r="G62" s="1837"/>
      <c r="H62" s="2536" t="s">
        <v>93</v>
      </c>
      <c r="I62" s="2537"/>
      <c r="J62" s="2506"/>
      <c r="K62" s="2538"/>
      <c r="L62" s="2128"/>
      <c r="M62" s="2129"/>
      <c r="N62" s="2529"/>
      <c r="O62" s="2530"/>
      <c r="P62" s="2533"/>
      <c r="Q62" s="2735"/>
      <c r="R62" s="2534"/>
      <c r="S62" s="2535"/>
      <c r="T62" s="2534"/>
      <c r="U62" s="2534"/>
      <c r="V62" s="2534"/>
      <c r="W62" s="2534"/>
      <c r="X62" s="2534"/>
      <c r="Y62" s="2534"/>
      <c r="Z62" s="1183"/>
      <c r="AA62" s="1184"/>
      <c r="AB62" s="1249" t="s">
        <v>1086</v>
      </c>
      <c r="AC62" s="1188"/>
      <c r="AD62" s="1188"/>
      <c r="AE62" s="1190"/>
      <c r="AF62" s="2527"/>
      <c r="AG62" s="2528"/>
      <c r="AH62" s="2528"/>
      <c r="AI62" s="2527"/>
      <c r="AJ62" s="2528"/>
      <c r="AK62" s="2528"/>
      <c r="AL62" s="1993"/>
      <c r="AM62" s="1830"/>
      <c r="AN62" s="1830"/>
      <c r="AO62" s="1830"/>
      <c r="AP62" s="1830"/>
      <c r="AQ62" s="1830"/>
      <c r="AR62" s="1830"/>
      <c r="AS62" s="1830"/>
      <c r="AT62" s="1830"/>
      <c r="AU62" s="1830"/>
      <c r="AV62" s="1830"/>
      <c r="AW62" s="1830"/>
      <c r="AX62" s="1830"/>
      <c r="AY62" s="1830"/>
      <c r="AZ62" s="1830"/>
      <c r="BA62" s="1830"/>
      <c r="BB62" s="1830"/>
      <c r="BC62" s="1830"/>
      <c r="BD62" s="1830"/>
      <c r="BE62" s="1830"/>
      <c r="BF62" s="1830"/>
      <c r="BG62" s="1643"/>
    </row>
    <row customHeight="1" ht="11.25">
      <c r="A63" s="1174" t="s">
        <v>1040</v>
      </c>
      <c r="B63" s="1174"/>
      <c r="C63" s="1174"/>
      <c r="D63" s="1168"/>
      <c r="E63" s="1178"/>
      <c r="F63" s="1836"/>
      <c r="G63" s="1837"/>
      <c r="H63" s="2536" t="s">
        <v>93</v>
      </c>
      <c r="I63" s="2537"/>
      <c r="J63" s="2506"/>
      <c r="K63" s="2538"/>
      <c r="L63" s="2128"/>
      <c r="M63" s="2129"/>
      <c r="N63" s="1183"/>
      <c r="O63" s="1184"/>
      <c r="P63" s="1176" t="s">
        <v>1087</v>
      </c>
      <c r="Q63" s="1184"/>
      <c r="R63" s="1184"/>
      <c r="S63" s="1184"/>
      <c r="T63" s="1184"/>
      <c r="U63" s="1184"/>
      <c r="V63" s="1184"/>
      <c r="W63" s="1184"/>
      <c r="X63" s="1184"/>
      <c r="Y63" s="1184"/>
      <c r="Z63" s="1184"/>
      <c r="AA63" s="1184"/>
      <c r="AB63" s="1184"/>
      <c r="AC63" s="1184"/>
      <c r="AD63" s="1184"/>
      <c r="AE63" s="1191"/>
      <c r="AF63" s="2527"/>
      <c r="AG63" s="2528"/>
      <c r="AH63" s="2528"/>
      <c r="AI63" s="2527"/>
      <c r="AJ63" s="2528"/>
      <c r="AK63" s="2528"/>
      <c r="AL63" s="1993"/>
      <c r="AM63" s="1830"/>
      <c r="AN63" s="1830"/>
      <c r="AO63" s="1830"/>
      <c r="AP63" s="1830"/>
      <c r="AQ63" s="1830"/>
      <c r="AR63" s="1830"/>
      <c r="AS63" s="1830"/>
      <c r="AT63" s="1830"/>
      <c r="AU63" s="1830"/>
      <c r="AV63" s="1830"/>
      <c r="AW63" s="1830"/>
      <c r="AX63" s="1830"/>
      <c r="AY63" s="1830"/>
      <c r="AZ63" s="1830"/>
      <c r="BA63" s="1830"/>
      <c r="BB63" s="1830"/>
      <c r="BC63" s="1830"/>
      <c r="BD63" s="1830"/>
      <c r="BE63" s="1830"/>
      <c r="BF63" s="1830"/>
      <c r="BG63" s="1643"/>
    </row>
    <row customHeight="1" ht="11.25">
      <c r="A64" s="1174" t="s">
        <v>1040</v>
      </c>
      <c r="B64" s="1174" t="s">
        <v>1072</v>
      </c>
      <c r="C64" s="1174"/>
      <c r="D64" s="1168"/>
      <c r="E64" s="1178"/>
      <c r="F64" s="1836"/>
      <c r="G64" s="691" t="s">
        <v>103</v>
      </c>
      <c r="H64" s="2536" t="s">
        <v>167</v>
      </c>
      <c r="I64" s="2537" t="s">
        <v>1073</v>
      </c>
      <c r="J64" s="2506" t="s">
        <v>1102</v>
      </c>
      <c r="K64" s="2538" t="s">
        <v>1111</v>
      </c>
      <c r="L64" s="2128" t="s">
        <v>19</v>
      </c>
      <c r="M64" s="2129"/>
      <c r="N64" s="1991"/>
      <c r="O64" s="1185" t="s">
        <v>393</v>
      </c>
      <c r="P64" s="1186"/>
      <c r="Q64" s="1186"/>
      <c r="R64" s="1186"/>
      <c r="S64" s="1186"/>
      <c r="T64" s="1186"/>
      <c r="U64" s="1186"/>
      <c r="V64" s="1186"/>
      <c r="W64" s="1186"/>
      <c r="X64" s="1186"/>
      <c r="Y64" s="1186"/>
      <c r="Z64" s="1186"/>
      <c r="AA64" s="1186"/>
      <c r="AB64" s="1186"/>
      <c r="AC64" s="1186"/>
      <c r="AD64" s="1186"/>
      <c r="AE64" s="1186"/>
      <c r="AF64" s="2527">
        <v>1</v>
      </c>
      <c r="AG64" s="2528" t="s">
        <v>1076</v>
      </c>
      <c r="AH64" s="2528" t="s">
        <v>1091</v>
      </c>
      <c r="AI64" s="2527">
        <v>1</v>
      </c>
      <c r="AJ64" s="2528" t="s">
        <v>1100</v>
      </c>
      <c r="AK64" s="2528" t="s">
        <v>1091</v>
      </c>
      <c r="AL64" s="1993"/>
      <c r="AM64" s="1830"/>
      <c r="AN64" s="1830"/>
      <c r="AO64" s="1830"/>
      <c r="AP64" s="1830"/>
      <c r="AQ64" s="1830"/>
      <c r="AR64" s="1830"/>
      <c r="AS64" s="1830"/>
      <c r="AT64" s="1830"/>
      <c r="AU64" s="1830"/>
      <c r="AV64" s="1830"/>
      <c r="AW64" s="1830"/>
      <c r="AX64" s="1830"/>
      <c r="AY64" s="1830"/>
      <c r="AZ64" s="1830"/>
      <c r="BA64" s="1830"/>
      <c r="BB64" s="1830"/>
      <c r="BC64" s="1830"/>
      <c r="BD64" s="1830"/>
      <c r="BE64" s="1830"/>
      <c r="BF64" s="1830"/>
      <c r="BG64" s="1643"/>
    </row>
    <row customHeight="1" ht="11.25">
      <c r="A65" s="1174" t="s">
        <v>1040</v>
      </c>
      <c r="B65" s="1174"/>
      <c r="C65" s="1174"/>
      <c r="D65" s="1168"/>
      <c r="E65" s="1178"/>
      <c r="F65" s="1836"/>
      <c r="G65" s="1837"/>
      <c r="H65" s="2536" t="s">
        <v>120</v>
      </c>
      <c r="I65" s="2537"/>
      <c r="J65" s="2506"/>
      <c r="K65" s="2538"/>
      <c r="L65" s="2128"/>
      <c r="M65" s="2129"/>
      <c r="N65" s="2529"/>
      <c r="O65" s="2530">
        <v>1</v>
      </c>
      <c r="P65" s="2531" t="s">
        <v>61</v>
      </c>
      <c r="Q65" s="2735" t="s">
        <v>1079</v>
      </c>
      <c r="R65" s="2736" t="s">
        <v>1080</v>
      </c>
      <c r="S65" s="2736" t="s">
        <v>99</v>
      </c>
      <c r="T65" s="2736" t="s">
        <v>99</v>
      </c>
      <c r="U65" s="2736" t="s">
        <v>100</v>
      </c>
      <c r="V65" s="2736" t="s">
        <v>1081</v>
      </c>
      <c r="W65" s="2736" t="s">
        <v>1082</v>
      </c>
      <c r="X65" s="2736" t="s">
        <v>1083</v>
      </c>
      <c r="Y65" s="2736" t="s">
        <v>1084</v>
      </c>
      <c r="Z65" s="1183"/>
      <c r="AA65" s="1184"/>
      <c r="AB65" s="1184"/>
      <c r="AC65" s="1188"/>
      <c r="AD65" s="1188"/>
      <c r="AE65" s="1189"/>
      <c r="AF65" s="2527"/>
      <c r="AG65" s="2528"/>
      <c r="AH65" s="2528"/>
      <c r="AI65" s="2527"/>
      <c r="AJ65" s="2528"/>
      <c r="AK65" s="2528"/>
      <c r="AL65" s="1993"/>
      <c r="AM65" s="1830"/>
      <c r="AN65" s="1830"/>
      <c r="AO65" s="1830"/>
      <c r="AP65" s="1830"/>
      <c r="AQ65" s="1830"/>
      <c r="AR65" s="1830"/>
      <c r="AS65" s="1830"/>
      <c r="AT65" s="1830"/>
      <c r="AU65" s="1830"/>
      <c r="AV65" s="1830"/>
      <c r="AW65" s="1830"/>
      <c r="AX65" s="1830"/>
      <c r="AY65" s="1830"/>
      <c r="AZ65" s="1830"/>
      <c r="BA65" s="1830"/>
      <c r="BB65" s="1830"/>
      <c r="BC65" s="1830"/>
      <c r="BD65" s="1830"/>
      <c r="BE65" s="1830"/>
      <c r="BF65" s="1830"/>
      <c r="BG65" s="1643"/>
    </row>
    <row customHeight="1" ht="11.25">
      <c r="A66" s="1174" t="s">
        <v>1040</v>
      </c>
      <c r="B66" s="1174"/>
      <c r="C66" s="1174"/>
      <c r="D66" s="1168"/>
      <c r="E66" s="1178"/>
      <c r="F66" s="1836"/>
      <c r="G66" s="1837"/>
      <c r="H66" s="2536" t="s">
        <v>120</v>
      </c>
      <c r="I66" s="2537"/>
      <c r="J66" s="2506"/>
      <c r="K66" s="2538"/>
      <c r="L66" s="2128"/>
      <c r="M66" s="2129"/>
      <c r="N66" s="2529"/>
      <c r="O66" s="2530"/>
      <c r="P66" s="2532"/>
      <c r="Q66" s="2735"/>
      <c r="R66" s="2534"/>
      <c r="S66" s="2535"/>
      <c r="T66" s="2534"/>
      <c r="U66" s="2534"/>
      <c r="V66" s="2534"/>
      <c r="W66" s="2534"/>
      <c r="X66" s="2534"/>
      <c r="Y66" s="2534"/>
      <c r="Z66" s="1835"/>
      <c r="AA66" s="1801">
        <v>1</v>
      </c>
      <c r="AB66" s="1187" t="s">
        <v>1094</v>
      </c>
      <c r="AC66" s="1177">
        <v>8284.3</v>
      </c>
      <c r="AD66" s="1187" t="str">
        <f>AB66</f>
        <v>      Амортизационные отчисления с выделением результатов переоценки основных средств и нематериальных активов</v>
      </c>
      <c r="AE66" s="1177">
        <v>7609.49004</v>
      </c>
      <c r="AF66" s="2527"/>
      <c r="AG66" s="2528"/>
      <c r="AH66" s="2528"/>
      <c r="AI66" s="2527"/>
      <c r="AJ66" s="2528"/>
      <c r="AK66" s="2528"/>
      <c r="AL66" s="1993"/>
      <c r="AM66" s="1830"/>
      <c r="AN66" s="1830"/>
      <c r="AO66" s="1830"/>
      <c r="AP66" s="1830"/>
      <c r="AQ66" s="1830"/>
      <c r="AR66" s="1830"/>
      <c r="AS66" s="1830"/>
      <c r="AT66" s="1830"/>
      <c r="AU66" s="1830"/>
      <c r="AV66" s="1830"/>
      <c r="AW66" s="1830"/>
      <c r="AX66" s="1830"/>
      <c r="AY66" s="1830"/>
      <c r="AZ66" s="1830"/>
      <c r="BA66" s="1830"/>
      <c r="BB66" s="1830"/>
      <c r="BC66" s="1830"/>
      <c r="BD66" s="1830"/>
      <c r="BE66" s="1830"/>
      <c r="BF66" s="1830"/>
      <c r="BG66" s="1643"/>
    </row>
    <row customHeight="1" ht="11.25">
      <c r="A67" s="1174" t="s">
        <v>1040</v>
      </c>
      <c r="B67" s="1174"/>
      <c r="C67" s="1174"/>
      <c r="D67" s="1168"/>
      <c r="E67" s="1178"/>
      <c r="F67" s="1837"/>
      <c r="G67" s="1837"/>
      <c r="H67" s="1837"/>
      <c r="I67" s="1837"/>
      <c r="J67" s="1837"/>
      <c r="K67" s="1837"/>
      <c r="L67" s="1837"/>
      <c r="M67" s="1837"/>
      <c r="N67" s="1837"/>
      <c r="O67" s="1837"/>
      <c r="P67" s="1837"/>
      <c r="Q67" s="1837"/>
      <c r="R67" s="1837"/>
      <c r="S67" s="1837"/>
      <c r="T67" s="1837"/>
      <c r="U67" s="1837"/>
      <c r="V67" s="1837"/>
      <c r="W67" s="1837"/>
      <c r="X67" s="1837"/>
      <c r="Y67" s="1837"/>
      <c r="Z67" s="691" t="s">
        <v>103</v>
      </c>
      <c r="AA67" s="1821" t="s">
        <v>102</v>
      </c>
      <c r="AB67" s="1187" t="s">
        <v>1085</v>
      </c>
      <c r="AC67" s="1177">
        <v>1512.7</v>
      </c>
      <c r="AD67" s="1187" t="str">
        <f>AB67</f>
        <v>  Прочие собственные средства</v>
      </c>
      <c r="AE67" s="1177">
        <v>0</v>
      </c>
      <c r="AF67" s="2094"/>
      <c r="AG67" s="1766"/>
      <c r="AH67" s="1766"/>
      <c r="AI67" s="2094"/>
      <c r="AJ67" s="1766"/>
      <c r="AK67" s="1992"/>
      <c r="AL67" s="1993"/>
      <c r="AM67" s="1830"/>
      <c r="AN67" s="1830"/>
      <c r="AO67" s="1830"/>
      <c r="AP67" s="1830"/>
      <c r="AQ67" s="1830"/>
      <c r="AR67" s="1830"/>
      <c r="AS67" s="1830"/>
      <c r="AT67" s="1830"/>
      <c r="AU67" s="1830"/>
      <c r="AV67" s="1830"/>
      <c r="AW67" s="1830"/>
      <c r="AX67" s="1830"/>
      <c r="AY67" s="1830"/>
      <c r="AZ67" s="1830"/>
      <c r="BA67" s="1830"/>
      <c r="BB67" s="1830"/>
      <c r="BC67" s="1830"/>
      <c r="BD67" s="1830"/>
      <c r="BE67" s="1830"/>
      <c r="BF67" s="1830"/>
      <c r="BG67" s="1643"/>
    </row>
    <row customHeight="1" ht="11.25">
      <c r="A68" s="1174" t="s">
        <v>1040</v>
      </c>
      <c r="B68" s="1174"/>
      <c r="C68" s="1174"/>
      <c r="D68" s="1168"/>
      <c r="E68" s="1178"/>
      <c r="F68" s="1836"/>
      <c r="G68" s="1837"/>
      <c r="H68" s="2536" t="s">
        <v>120</v>
      </c>
      <c r="I68" s="2537"/>
      <c r="J68" s="2506"/>
      <c r="K68" s="2538"/>
      <c r="L68" s="2128"/>
      <c r="M68" s="2129"/>
      <c r="N68" s="2529"/>
      <c r="O68" s="2530"/>
      <c r="P68" s="2533"/>
      <c r="Q68" s="2735"/>
      <c r="R68" s="2534"/>
      <c r="S68" s="2535"/>
      <c r="T68" s="2534"/>
      <c r="U68" s="2534"/>
      <c r="V68" s="2534"/>
      <c r="W68" s="2534"/>
      <c r="X68" s="2534"/>
      <c r="Y68" s="2534"/>
      <c r="Z68" s="1183"/>
      <c r="AA68" s="1184"/>
      <c r="AB68" s="1249" t="s">
        <v>1086</v>
      </c>
      <c r="AC68" s="1188"/>
      <c r="AD68" s="1188"/>
      <c r="AE68" s="1190"/>
      <c r="AF68" s="2527"/>
      <c r="AG68" s="2528"/>
      <c r="AH68" s="2528"/>
      <c r="AI68" s="2527"/>
      <c r="AJ68" s="2528"/>
      <c r="AK68" s="2528"/>
      <c r="AL68" s="1993"/>
      <c r="AM68" s="1830"/>
      <c r="AN68" s="1830"/>
      <c r="AO68" s="1830"/>
      <c r="AP68" s="1830"/>
      <c r="AQ68" s="1830"/>
      <c r="AR68" s="1830"/>
      <c r="AS68" s="1830"/>
      <c r="AT68" s="1830"/>
      <c r="AU68" s="1830"/>
      <c r="AV68" s="1830"/>
      <c r="AW68" s="1830"/>
      <c r="AX68" s="1830"/>
      <c r="AY68" s="1830"/>
      <c r="AZ68" s="1830"/>
      <c r="BA68" s="1830"/>
      <c r="BB68" s="1830"/>
      <c r="BC68" s="1830"/>
      <c r="BD68" s="1830"/>
      <c r="BE68" s="1830"/>
      <c r="BF68" s="1830"/>
      <c r="BG68" s="1643"/>
    </row>
    <row customHeight="1" ht="11.25">
      <c r="A69" s="1174" t="s">
        <v>1040</v>
      </c>
      <c r="B69" s="1174"/>
      <c r="C69" s="1174"/>
      <c r="D69" s="1168"/>
      <c r="E69" s="1178"/>
      <c r="F69" s="1836"/>
      <c r="G69" s="1837"/>
      <c r="H69" s="2536" t="s">
        <v>120</v>
      </c>
      <c r="I69" s="2537"/>
      <c r="J69" s="2506"/>
      <c r="K69" s="2538"/>
      <c r="L69" s="2128"/>
      <c r="M69" s="2129"/>
      <c r="N69" s="1183"/>
      <c r="O69" s="1184"/>
      <c r="P69" s="1176" t="s">
        <v>1087</v>
      </c>
      <c r="Q69" s="1184"/>
      <c r="R69" s="1184"/>
      <c r="S69" s="1184"/>
      <c r="T69" s="1184"/>
      <c r="U69" s="1184"/>
      <c r="V69" s="1184"/>
      <c r="W69" s="1184"/>
      <c r="X69" s="1184"/>
      <c r="Y69" s="1184"/>
      <c r="Z69" s="1184"/>
      <c r="AA69" s="1184"/>
      <c r="AB69" s="1184"/>
      <c r="AC69" s="1184"/>
      <c r="AD69" s="1184"/>
      <c r="AE69" s="1191"/>
      <c r="AF69" s="2527"/>
      <c r="AG69" s="2528"/>
      <c r="AH69" s="2528"/>
      <c r="AI69" s="2527"/>
      <c r="AJ69" s="2528"/>
      <c r="AK69" s="2528"/>
      <c r="AL69" s="1993"/>
      <c r="AM69" s="1830"/>
      <c r="AN69" s="1830"/>
      <c r="AO69" s="1830"/>
      <c r="AP69" s="1830"/>
      <c r="AQ69" s="1830"/>
      <c r="AR69" s="1830"/>
      <c r="AS69" s="1830"/>
      <c r="AT69" s="1830"/>
      <c r="AU69" s="1830"/>
      <c r="AV69" s="1830"/>
      <c r="AW69" s="1830"/>
      <c r="AX69" s="1830"/>
      <c r="AY69" s="1830"/>
      <c r="AZ69" s="1830"/>
      <c r="BA69" s="1830"/>
      <c r="BB69" s="1830"/>
      <c r="BC69" s="1830"/>
      <c r="BD69" s="1830"/>
      <c r="BE69" s="1830"/>
      <c r="BF69" s="1830"/>
      <c r="BG69" s="1643"/>
    </row>
    <row customHeight="1" ht="11.25">
      <c r="A70" s="1174" t="s">
        <v>1040</v>
      </c>
      <c r="B70" s="1174" t="s">
        <v>1072</v>
      </c>
      <c r="C70" s="1174"/>
      <c r="D70" s="1168"/>
      <c r="E70" s="1178"/>
      <c r="F70" s="1836"/>
      <c r="G70" s="691" t="s">
        <v>103</v>
      </c>
      <c r="H70" s="2536" t="s">
        <v>168</v>
      </c>
      <c r="I70" s="2537" t="s">
        <v>1073</v>
      </c>
      <c r="J70" s="2506" t="s">
        <v>1102</v>
      </c>
      <c r="K70" s="2538" t="s">
        <v>1112</v>
      </c>
      <c r="L70" s="2128" t="s">
        <v>19</v>
      </c>
      <c r="M70" s="2129"/>
      <c r="N70" s="1991"/>
      <c r="O70" s="1185" t="s">
        <v>393</v>
      </c>
      <c r="P70" s="1186"/>
      <c r="Q70" s="1186"/>
      <c r="R70" s="1186"/>
      <c r="S70" s="1186"/>
      <c r="T70" s="1186"/>
      <c r="U70" s="1186"/>
      <c r="V70" s="1186"/>
      <c r="W70" s="1186"/>
      <c r="X70" s="1186"/>
      <c r="Y70" s="1186"/>
      <c r="Z70" s="1186"/>
      <c r="AA70" s="1186"/>
      <c r="AB70" s="1186"/>
      <c r="AC70" s="1186"/>
      <c r="AD70" s="1186"/>
      <c r="AE70" s="1186"/>
      <c r="AF70" s="2527">
        <v>1</v>
      </c>
      <c r="AG70" s="2528" t="s">
        <v>1076</v>
      </c>
      <c r="AH70" s="2528" t="s">
        <v>1091</v>
      </c>
      <c r="AI70" s="2527">
        <v>1</v>
      </c>
      <c r="AJ70" s="2528" t="s">
        <v>1100</v>
      </c>
      <c r="AK70" s="2528" t="s">
        <v>1093</v>
      </c>
      <c r="AL70" s="1993"/>
      <c r="AM70" s="1830"/>
      <c r="AN70" s="1830"/>
      <c r="AO70" s="1830"/>
      <c r="AP70" s="1830"/>
      <c r="AQ70" s="1830"/>
      <c r="AR70" s="1830"/>
      <c r="AS70" s="1830"/>
      <c r="AT70" s="1830"/>
      <c r="AU70" s="1830"/>
      <c r="AV70" s="1830"/>
      <c r="AW70" s="1830"/>
      <c r="AX70" s="1830"/>
      <c r="AY70" s="1830"/>
      <c r="AZ70" s="1830"/>
      <c r="BA70" s="1830"/>
      <c r="BB70" s="1830"/>
      <c r="BC70" s="1830"/>
      <c r="BD70" s="1830"/>
      <c r="BE70" s="1830"/>
      <c r="BF70" s="1830"/>
      <c r="BG70" s="1643"/>
    </row>
    <row customHeight="1" ht="11.25">
      <c r="A71" s="1174" t="s">
        <v>1040</v>
      </c>
      <c r="B71" s="1174"/>
      <c r="C71" s="1174"/>
      <c r="D71" s="1168"/>
      <c r="E71" s="1178"/>
      <c r="F71" s="1836"/>
      <c r="G71" s="1837"/>
      <c r="H71" s="2536" t="s">
        <v>167</v>
      </c>
      <c r="I71" s="2537"/>
      <c r="J71" s="2506"/>
      <c r="K71" s="2538"/>
      <c r="L71" s="2128"/>
      <c r="M71" s="2129"/>
      <c r="N71" s="2529"/>
      <c r="O71" s="2530">
        <v>1</v>
      </c>
      <c r="P71" s="2531" t="s">
        <v>61</v>
      </c>
      <c r="Q71" s="2735" t="s">
        <v>1079</v>
      </c>
      <c r="R71" s="2736" t="s">
        <v>1080</v>
      </c>
      <c r="S71" s="2736" t="s">
        <v>99</v>
      </c>
      <c r="T71" s="2736" t="s">
        <v>99</v>
      </c>
      <c r="U71" s="2736" t="s">
        <v>100</v>
      </c>
      <c r="V71" s="2736" t="s">
        <v>1081</v>
      </c>
      <c r="W71" s="2736" t="s">
        <v>1082</v>
      </c>
      <c r="X71" s="2736" t="s">
        <v>1083</v>
      </c>
      <c r="Y71" s="2736" t="s">
        <v>1084</v>
      </c>
      <c r="Z71" s="1183"/>
      <c r="AA71" s="1184"/>
      <c r="AB71" s="1184"/>
      <c r="AC71" s="1188"/>
      <c r="AD71" s="1188"/>
      <c r="AE71" s="1189"/>
      <c r="AF71" s="2527"/>
      <c r="AG71" s="2528"/>
      <c r="AH71" s="2528"/>
      <c r="AI71" s="2527"/>
      <c r="AJ71" s="2528"/>
      <c r="AK71" s="2528"/>
      <c r="AL71" s="1993"/>
      <c r="AM71" s="1830"/>
      <c r="AN71" s="1830"/>
      <c r="AO71" s="1830"/>
      <c r="AP71" s="1830"/>
      <c r="AQ71" s="1830"/>
      <c r="AR71" s="1830"/>
      <c r="AS71" s="1830"/>
      <c r="AT71" s="1830"/>
      <c r="AU71" s="1830"/>
      <c r="AV71" s="1830"/>
      <c r="AW71" s="1830"/>
      <c r="AX71" s="1830"/>
      <c r="AY71" s="1830"/>
      <c r="AZ71" s="1830"/>
      <c r="BA71" s="1830"/>
      <c r="BB71" s="1830"/>
      <c r="BC71" s="1830"/>
      <c r="BD71" s="1830"/>
      <c r="BE71" s="1830"/>
      <c r="BF71" s="1830"/>
      <c r="BG71" s="1643"/>
    </row>
    <row customHeight="1" ht="11.25">
      <c r="A72" s="1174" t="s">
        <v>1040</v>
      </c>
      <c r="B72" s="1174"/>
      <c r="C72" s="1174"/>
      <c r="D72" s="1168"/>
      <c r="E72" s="1178"/>
      <c r="F72" s="1836"/>
      <c r="G72" s="1837"/>
      <c r="H72" s="2536" t="s">
        <v>167</v>
      </c>
      <c r="I72" s="2537"/>
      <c r="J72" s="2506"/>
      <c r="K72" s="2538"/>
      <c r="L72" s="2128"/>
      <c r="M72" s="2129"/>
      <c r="N72" s="2529"/>
      <c r="O72" s="2530"/>
      <c r="P72" s="2532"/>
      <c r="Q72" s="2735"/>
      <c r="R72" s="2534"/>
      <c r="S72" s="2535"/>
      <c r="T72" s="2534"/>
      <c r="U72" s="2534"/>
      <c r="V72" s="2534"/>
      <c r="W72" s="2534"/>
      <c r="X72" s="2534"/>
      <c r="Y72" s="2534"/>
      <c r="Z72" s="1835"/>
      <c r="AA72" s="1801">
        <v>1</v>
      </c>
      <c r="AB72" s="1187" t="s">
        <v>1094</v>
      </c>
      <c r="AC72" s="1177">
        <v>1201.42</v>
      </c>
      <c r="AD72" s="1187" t="str">
        <f>AB72</f>
        <v>      Амортизационные отчисления с выделением результатов переоценки основных средств и нематериальных активов</v>
      </c>
      <c r="AE72" s="1177">
        <v>1441.7029</v>
      </c>
      <c r="AF72" s="2527"/>
      <c r="AG72" s="2528"/>
      <c r="AH72" s="2528"/>
      <c r="AI72" s="2527"/>
      <c r="AJ72" s="2528"/>
      <c r="AK72" s="2528"/>
      <c r="AL72" s="1993"/>
      <c r="AM72" s="1830"/>
      <c r="AN72" s="1830"/>
      <c r="AO72" s="1830"/>
      <c r="AP72" s="1830"/>
      <c r="AQ72" s="1830"/>
      <c r="AR72" s="1830"/>
      <c r="AS72" s="1830"/>
      <c r="AT72" s="1830"/>
      <c r="AU72" s="1830"/>
      <c r="AV72" s="1830"/>
      <c r="AW72" s="1830"/>
      <c r="AX72" s="1830"/>
      <c r="AY72" s="1830"/>
      <c r="AZ72" s="1830"/>
      <c r="BA72" s="1830"/>
      <c r="BB72" s="1830"/>
      <c r="BC72" s="1830"/>
      <c r="BD72" s="1830"/>
      <c r="BE72" s="1830"/>
      <c r="BF72" s="1830"/>
      <c r="BG72" s="1643"/>
    </row>
    <row customHeight="1" ht="11.25">
      <c r="A73" s="1174" t="s">
        <v>1040</v>
      </c>
      <c r="B73" s="1174"/>
      <c r="C73" s="1174"/>
      <c r="D73" s="1168"/>
      <c r="E73" s="1178"/>
      <c r="F73" s="1837"/>
      <c r="G73" s="1837"/>
      <c r="H73" s="1837"/>
      <c r="I73" s="1837"/>
      <c r="J73" s="1837"/>
      <c r="K73" s="1837"/>
      <c r="L73" s="1837"/>
      <c r="M73" s="1837"/>
      <c r="N73" s="1837"/>
      <c r="O73" s="1837"/>
      <c r="P73" s="1837"/>
      <c r="Q73" s="1837"/>
      <c r="R73" s="1837"/>
      <c r="S73" s="1837"/>
      <c r="T73" s="1837"/>
      <c r="U73" s="1837"/>
      <c r="V73" s="1837"/>
      <c r="W73" s="1837"/>
      <c r="X73" s="1837"/>
      <c r="Y73" s="1837"/>
      <c r="Z73" s="691" t="s">
        <v>103</v>
      </c>
      <c r="AA73" s="1821" t="s">
        <v>102</v>
      </c>
      <c r="AB73" s="1187" t="s">
        <v>1085</v>
      </c>
      <c r="AC73" s="1177">
        <v>240.28</v>
      </c>
      <c r="AD73" s="1187" t="str">
        <f>AB73</f>
        <v>  Прочие собственные средства</v>
      </c>
      <c r="AE73" s="1177">
        <v>0</v>
      </c>
      <c r="AF73" s="2094"/>
      <c r="AG73" s="1766"/>
      <c r="AH73" s="1766"/>
      <c r="AI73" s="2094"/>
      <c r="AJ73" s="1766"/>
      <c r="AK73" s="1992"/>
      <c r="AL73" s="1993"/>
      <c r="AM73" s="1830"/>
      <c r="AN73" s="1830"/>
      <c r="AO73" s="1830"/>
      <c r="AP73" s="1830"/>
      <c r="AQ73" s="1830"/>
      <c r="AR73" s="1830"/>
      <c r="AS73" s="1830"/>
      <c r="AT73" s="1830"/>
      <c r="AU73" s="1830"/>
      <c r="AV73" s="1830"/>
      <c r="AW73" s="1830"/>
      <c r="AX73" s="1830"/>
      <c r="AY73" s="1830"/>
      <c r="AZ73" s="1830"/>
      <c r="BA73" s="1830"/>
      <c r="BB73" s="1830"/>
      <c r="BC73" s="1830"/>
      <c r="BD73" s="1830"/>
      <c r="BE73" s="1830"/>
      <c r="BF73" s="1830"/>
      <c r="BG73" s="1643"/>
    </row>
    <row customHeight="1" ht="11.25">
      <c r="A74" s="1174" t="s">
        <v>1040</v>
      </c>
      <c r="B74" s="1174"/>
      <c r="C74" s="1174"/>
      <c r="D74" s="1168"/>
      <c r="E74" s="1178"/>
      <c r="F74" s="1836"/>
      <c r="G74" s="1837"/>
      <c r="H74" s="2536" t="s">
        <v>167</v>
      </c>
      <c r="I74" s="2537"/>
      <c r="J74" s="2506"/>
      <c r="K74" s="2538"/>
      <c r="L74" s="2128"/>
      <c r="M74" s="2129"/>
      <c r="N74" s="2529"/>
      <c r="O74" s="2530"/>
      <c r="P74" s="2533"/>
      <c r="Q74" s="2735"/>
      <c r="R74" s="2534"/>
      <c r="S74" s="2535"/>
      <c r="T74" s="2534"/>
      <c r="U74" s="2534"/>
      <c r="V74" s="2534"/>
      <c r="W74" s="2534"/>
      <c r="X74" s="2534"/>
      <c r="Y74" s="2534"/>
      <c r="Z74" s="1183"/>
      <c r="AA74" s="1184"/>
      <c r="AB74" s="1249" t="s">
        <v>1086</v>
      </c>
      <c r="AC74" s="1188"/>
      <c r="AD74" s="1188"/>
      <c r="AE74" s="1190"/>
      <c r="AF74" s="2527"/>
      <c r="AG74" s="2528"/>
      <c r="AH74" s="2528"/>
      <c r="AI74" s="2527"/>
      <c r="AJ74" s="2528"/>
      <c r="AK74" s="2528"/>
      <c r="AL74" s="1993"/>
      <c r="AM74" s="1830"/>
      <c r="AN74" s="1830"/>
      <c r="AO74" s="1830"/>
      <c r="AP74" s="1830"/>
      <c r="AQ74" s="1830"/>
      <c r="AR74" s="1830"/>
      <c r="AS74" s="1830"/>
      <c r="AT74" s="1830"/>
      <c r="AU74" s="1830"/>
      <c r="AV74" s="1830"/>
      <c r="AW74" s="1830"/>
      <c r="AX74" s="1830"/>
      <c r="AY74" s="1830"/>
      <c r="AZ74" s="1830"/>
      <c r="BA74" s="1830"/>
      <c r="BB74" s="1830"/>
      <c r="BC74" s="1830"/>
      <c r="BD74" s="1830"/>
      <c r="BE74" s="1830"/>
      <c r="BF74" s="1830"/>
      <c r="BG74" s="1643"/>
    </row>
    <row customHeight="1" ht="11.25">
      <c r="A75" s="1174" t="s">
        <v>1040</v>
      </c>
      <c r="B75" s="1174"/>
      <c r="C75" s="1174"/>
      <c r="D75" s="1168"/>
      <c r="E75" s="1178"/>
      <c r="F75" s="1836"/>
      <c r="G75" s="1837"/>
      <c r="H75" s="2536" t="s">
        <v>167</v>
      </c>
      <c r="I75" s="2537"/>
      <c r="J75" s="2506"/>
      <c r="K75" s="2538"/>
      <c r="L75" s="2128"/>
      <c r="M75" s="2129"/>
      <c r="N75" s="1183"/>
      <c r="O75" s="1184"/>
      <c r="P75" s="1176" t="s">
        <v>1087</v>
      </c>
      <c r="Q75" s="1184"/>
      <c r="R75" s="1184"/>
      <c r="S75" s="1184"/>
      <c r="T75" s="1184"/>
      <c r="U75" s="1184"/>
      <c r="V75" s="1184"/>
      <c r="W75" s="1184"/>
      <c r="X75" s="1184"/>
      <c r="Y75" s="1184"/>
      <c r="Z75" s="1184"/>
      <c r="AA75" s="1184"/>
      <c r="AB75" s="1184"/>
      <c r="AC75" s="1184"/>
      <c r="AD75" s="1184"/>
      <c r="AE75" s="1191"/>
      <c r="AF75" s="2527"/>
      <c r="AG75" s="2528"/>
      <c r="AH75" s="2528"/>
      <c r="AI75" s="2527"/>
      <c r="AJ75" s="2528"/>
      <c r="AK75" s="2528"/>
      <c r="AL75" s="1993"/>
      <c r="AM75" s="1830"/>
      <c r="AN75" s="1830"/>
      <c r="AO75" s="1830"/>
      <c r="AP75" s="1830"/>
      <c r="AQ75" s="1830"/>
      <c r="AR75" s="1830"/>
      <c r="AS75" s="1830"/>
      <c r="AT75" s="1830"/>
      <c r="AU75" s="1830"/>
      <c r="AV75" s="1830"/>
      <c r="AW75" s="1830"/>
      <c r="AX75" s="1830"/>
      <c r="AY75" s="1830"/>
      <c r="AZ75" s="1830"/>
      <c r="BA75" s="1830"/>
      <c r="BB75" s="1830"/>
      <c r="BC75" s="1830"/>
      <c r="BD75" s="1830"/>
      <c r="BE75" s="1830"/>
      <c r="BF75" s="1830"/>
      <c r="BG75" s="1643"/>
    </row>
    <row customHeight="1" ht="11.25">
      <c r="A76" s="1174" t="s">
        <v>1040</v>
      </c>
      <c r="B76" s="1174" t="s">
        <v>1072</v>
      </c>
      <c r="C76" s="1174"/>
      <c r="D76" s="1168"/>
      <c r="E76" s="1178"/>
      <c r="F76" s="1836"/>
      <c r="G76" s="691" t="s">
        <v>103</v>
      </c>
      <c r="H76" s="2536" t="s">
        <v>169</v>
      </c>
      <c r="I76" s="2537" t="s">
        <v>1073</v>
      </c>
      <c r="J76" s="2506" t="s">
        <v>1074</v>
      </c>
      <c r="K76" s="2538" t="s">
        <v>1113</v>
      </c>
      <c r="L76" s="2128" t="s">
        <v>19</v>
      </c>
      <c r="M76" s="2129"/>
      <c r="N76" s="1991"/>
      <c r="O76" s="1185" t="s">
        <v>393</v>
      </c>
      <c r="P76" s="1186"/>
      <c r="Q76" s="1186"/>
      <c r="R76" s="1186"/>
      <c r="S76" s="1186"/>
      <c r="T76" s="1186"/>
      <c r="U76" s="1186"/>
      <c r="V76" s="1186"/>
      <c r="W76" s="1186"/>
      <c r="X76" s="1186"/>
      <c r="Y76" s="1186"/>
      <c r="Z76" s="1186"/>
      <c r="AA76" s="1186"/>
      <c r="AB76" s="1186"/>
      <c r="AC76" s="1186"/>
      <c r="AD76" s="1186"/>
      <c r="AE76" s="1186"/>
      <c r="AF76" s="2527">
        <v>2</v>
      </c>
      <c r="AG76" s="2528" t="s">
        <v>1076</v>
      </c>
      <c r="AH76" s="2528" t="s">
        <v>1101</v>
      </c>
      <c r="AI76" s="2734"/>
      <c r="AJ76" s="2528" t="s">
        <v>1078</v>
      </c>
      <c r="AK76" s="2528" t="s">
        <v>1078</v>
      </c>
      <c r="AL76" s="1993"/>
      <c r="AM76" s="1830"/>
      <c r="AN76" s="1830"/>
      <c r="AO76" s="1830"/>
      <c r="AP76" s="1830"/>
      <c r="AQ76" s="1830"/>
      <c r="AR76" s="1830"/>
      <c r="AS76" s="1830"/>
      <c r="AT76" s="1830"/>
      <c r="AU76" s="1830"/>
      <c r="AV76" s="1830"/>
      <c r="AW76" s="1830"/>
      <c r="AX76" s="1830"/>
      <c r="AY76" s="1830"/>
      <c r="AZ76" s="1830"/>
      <c r="BA76" s="1830"/>
      <c r="BB76" s="1830"/>
      <c r="BC76" s="1830"/>
      <c r="BD76" s="1830"/>
      <c r="BE76" s="1830"/>
      <c r="BF76" s="1830"/>
      <c r="BG76" s="1643"/>
    </row>
    <row customHeight="1" ht="11.25">
      <c r="A77" s="1174" t="s">
        <v>1040</v>
      </c>
      <c r="B77" s="1174"/>
      <c r="C77" s="1174"/>
      <c r="D77" s="1168"/>
      <c r="E77" s="1178"/>
      <c r="F77" s="1836"/>
      <c r="G77" s="1837"/>
      <c r="H77" s="2536" t="s">
        <v>168</v>
      </c>
      <c r="I77" s="2537"/>
      <c r="J77" s="2506"/>
      <c r="K77" s="2538"/>
      <c r="L77" s="2128"/>
      <c r="M77" s="2129"/>
      <c r="N77" s="2529"/>
      <c r="O77" s="2530">
        <v>1</v>
      </c>
      <c r="P77" s="2531" t="s">
        <v>61</v>
      </c>
      <c r="Q77" s="2735" t="s">
        <v>1079</v>
      </c>
      <c r="R77" s="2736" t="s">
        <v>1080</v>
      </c>
      <c r="S77" s="2736" t="s">
        <v>99</v>
      </c>
      <c r="T77" s="2736" t="s">
        <v>99</v>
      </c>
      <c r="U77" s="2736" t="s">
        <v>100</v>
      </c>
      <c r="V77" s="2736" t="s">
        <v>1081</v>
      </c>
      <c r="W77" s="2736" t="s">
        <v>1082</v>
      </c>
      <c r="X77" s="2736" t="s">
        <v>1083</v>
      </c>
      <c r="Y77" s="2736" t="s">
        <v>1084</v>
      </c>
      <c r="Z77" s="1183"/>
      <c r="AA77" s="1184"/>
      <c r="AB77" s="1184"/>
      <c r="AC77" s="1188"/>
      <c r="AD77" s="1188"/>
      <c r="AE77" s="1189"/>
      <c r="AF77" s="2527"/>
      <c r="AG77" s="2528"/>
      <c r="AH77" s="2528"/>
      <c r="AI77" s="2734"/>
      <c r="AJ77" s="2528"/>
      <c r="AK77" s="2528"/>
      <c r="AL77" s="1993"/>
      <c r="AM77" s="1830"/>
      <c r="AN77" s="1830"/>
      <c r="AO77" s="1830"/>
      <c r="AP77" s="1830"/>
      <c r="AQ77" s="1830"/>
      <c r="AR77" s="1830"/>
      <c r="AS77" s="1830"/>
      <c r="AT77" s="1830"/>
      <c r="AU77" s="1830"/>
      <c r="AV77" s="1830"/>
      <c r="AW77" s="1830"/>
      <c r="AX77" s="1830"/>
      <c r="AY77" s="1830"/>
      <c r="AZ77" s="1830"/>
      <c r="BA77" s="1830"/>
      <c r="BB77" s="1830"/>
      <c r="BC77" s="1830"/>
      <c r="BD77" s="1830"/>
      <c r="BE77" s="1830"/>
      <c r="BF77" s="1830"/>
      <c r="BG77" s="1643"/>
    </row>
    <row customHeight="1" ht="11.25">
      <c r="A78" s="1174" t="s">
        <v>1040</v>
      </c>
      <c r="B78" s="1174"/>
      <c r="C78" s="1174"/>
      <c r="D78" s="1168"/>
      <c r="E78" s="1178"/>
      <c r="F78" s="1836"/>
      <c r="G78" s="1837"/>
      <c r="H78" s="2536" t="s">
        <v>168</v>
      </c>
      <c r="I78" s="2537"/>
      <c r="J78" s="2506"/>
      <c r="K78" s="2538"/>
      <c r="L78" s="2128"/>
      <c r="M78" s="2129"/>
      <c r="N78" s="2529"/>
      <c r="O78" s="2530"/>
      <c r="P78" s="2532"/>
      <c r="Q78" s="2735"/>
      <c r="R78" s="2534"/>
      <c r="S78" s="2535"/>
      <c r="T78" s="2534"/>
      <c r="U78" s="2534"/>
      <c r="V78" s="2534"/>
      <c r="W78" s="2534"/>
      <c r="X78" s="2534"/>
      <c r="Y78" s="2534"/>
      <c r="Z78" s="1835"/>
      <c r="AA78" s="1801">
        <v>1</v>
      </c>
      <c r="AB78" s="1187" t="s">
        <v>1114</v>
      </c>
      <c r="AC78" s="1177">
        <v>41715.47</v>
      </c>
      <c r="AD78" s="1187" t="str">
        <f>AB78</f>
        <v>  За счет платы за технологическое присоединение</v>
      </c>
      <c r="AE78" s="1177">
        <v>42580.75775</v>
      </c>
      <c r="AF78" s="2527"/>
      <c r="AG78" s="2528"/>
      <c r="AH78" s="2528"/>
      <c r="AI78" s="2734"/>
      <c r="AJ78" s="2528"/>
      <c r="AK78" s="2528"/>
      <c r="AL78" s="1993"/>
      <c r="AM78" s="1830"/>
      <c r="AN78" s="1830"/>
      <c r="AO78" s="1830"/>
      <c r="AP78" s="1830"/>
      <c r="AQ78" s="1830"/>
      <c r="AR78" s="1830"/>
      <c r="AS78" s="1830"/>
      <c r="AT78" s="1830"/>
      <c r="AU78" s="1830"/>
      <c r="AV78" s="1830"/>
      <c r="AW78" s="1830"/>
      <c r="AX78" s="1830"/>
      <c r="AY78" s="1830"/>
      <c r="AZ78" s="1830"/>
      <c r="BA78" s="1830"/>
      <c r="BB78" s="1830"/>
      <c r="BC78" s="1830"/>
      <c r="BD78" s="1830"/>
      <c r="BE78" s="1830"/>
      <c r="BF78" s="1830"/>
      <c r="BG78" s="1643"/>
    </row>
    <row customHeight="1" ht="11.25">
      <c r="A79" s="1174" t="s">
        <v>1040</v>
      </c>
      <c r="B79" s="1174"/>
      <c r="C79" s="1174"/>
      <c r="D79" s="1168"/>
      <c r="E79" s="1178"/>
      <c r="F79" s="1837"/>
      <c r="G79" s="1837"/>
      <c r="H79" s="1837"/>
      <c r="I79" s="1837"/>
      <c r="J79" s="1837"/>
      <c r="K79" s="1837"/>
      <c r="L79" s="1837"/>
      <c r="M79" s="1837"/>
      <c r="N79" s="1837"/>
      <c r="O79" s="1837"/>
      <c r="P79" s="1837"/>
      <c r="Q79" s="1837"/>
      <c r="R79" s="1837"/>
      <c r="S79" s="1837"/>
      <c r="T79" s="1837"/>
      <c r="U79" s="1837"/>
      <c r="V79" s="1837"/>
      <c r="W79" s="1837"/>
      <c r="X79" s="1837"/>
      <c r="Y79" s="1837"/>
      <c r="Z79" s="691" t="s">
        <v>103</v>
      </c>
      <c r="AA79" s="1821" t="s">
        <v>102</v>
      </c>
      <c r="AB79" s="1187" t="s">
        <v>1085</v>
      </c>
      <c r="AC79" s="1177">
        <v>8343.09</v>
      </c>
      <c r="AD79" s="1187" t="str">
        <f>AB79</f>
        <v>  Прочие собственные средства</v>
      </c>
      <c r="AE79" s="1177">
        <v>8118.60943</v>
      </c>
      <c r="AF79" s="2094"/>
      <c r="AG79" s="1766"/>
      <c r="AH79" s="1766"/>
      <c r="AI79" s="2740"/>
      <c r="AJ79" s="1766"/>
      <c r="AK79" s="1992"/>
      <c r="AL79" s="1993"/>
      <c r="AM79" s="1830"/>
      <c r="AN79" s="1830"/>
      <c r="AO79" s="1830"/>
      <c r="AP79" s="1830"/>
      <c r="AQ79" s="1830"/>
      <c r="AR79" s="1830"/>
      <c r="AS79" s="1830"/>
      <c r="AT79" s="1830"/>
      <c r="AU79" s="1830"/>
      <c r="AV79" s="1830"/>
      <c r="AW79" s="1830"/>
      <c r="AX79" s="1830"/>
      <c r="AY79" s="1830"/>
      <c r="AZ79" s="1830"/>
      <c r="BA79" s="1830"/>
      <c r="BB79" s="1830"/>
      <c r="BC79" s="1830"/>
      <c r="BD79" s="1830"/>
      <c r="BE79" s="1830"/>
      <c r="BF79" s="1830"/>
      <c r="BG79" s="1643"/>
    </row>
    <row customHeight="1" ht="11.25">
      <c r="A80" s="1174" t="s">
        <v>1040</v>
      </c>
      <c r="B80" s="1174"/>
      <c r="C80" s="1174"/>
      <c r="D80" s="1168"/>
      <c r="E80" s="1178"/>
      <c r="F80" s="1836"/>
      <c r="G80" s="1837"/>
      <c r="H80" s="2536" t="s">
        <v>168</v>
      </c>
      <c r="I80" s="2537"/>
      <c r="J80" s="2506"/>
      <c r="K80" s="2538"/>
      <c r="L80" s="2128"/>
      <c r="M80" s="2129"/>
      <c r="N80" s="2529"/>
      <c r="O80" s="2530"/>
      <c r="P80" s="2533"/>
      <c r="Q80" s="2735"/>
      <c r="R80" s="2534"/>
      <c r="S80" s="2535"/>
      <c r="T80" s="2534"/>
      <c r="U80" s="2534"/>
      <c r="V80" s="2534"/>
      <c r="W80" s="2534"/>
      <c r="X80" s="2534"/>
      <c r="Y80" s="2534"/>
      <c r="Z80" s="1183"/>
      <c r="AA80" s="1184"/>
      <c r="AB80" s="1249" t="s">
        <v>1086</v>
      </c>
      <c r="AC80" s="1188"/>
      <c r="AD80" s="1188"/>
      <c r="AE80" s="1190"/>
      <c r="AF80" s="2527"/>
      <c r="AG80" s="2528"/>
      <c r="AH80" s="2528"/>
      <c r="AI80" s="2734"/>
      <c r="AJ80" s="2528"/>
      <c r="AK80" s="2528"/>
      <c r="AL80" s="1993"/>
      <c r="AM80" s="1830"/>
      <c r="AN80" s="1830"/>
      <c r="AO80" s="1830"/>
      <c r="AP80" s="1830"/>
      <c r="AQ80" s="1830"/>
      <c r="AR80" s="1830"/>
      <c r="AS80" s="1830"/>
      <c r="AT80" s="1830"/>
      <c r="AU80" s="1830"/>
      <c r="AV80" s="1830"/>
      <c r="AW80" s="1830"/>
      <c r="AX80" s="1830"/>
      <c r="AY80" s="1830"/>
      <c r="AZ80" s="1830"/>
      <c r="BA80" s="1830"/>
      <c r="BB80" s="1830"/>
      <c r="BC80" s="1830"/>
      <c r="BD80" s="1830"/>
      <c r="BE80" s="1830"/>
      <c r="BF80" s="1830"/>
      <c r="BG80" s="1643"/>
    </row>
    <row customHeight="1" ht="11.25">
      <c r="A81" s="1174" t="s">
        <v>1040</v>
      </c>
      <c r="B81" s="1174"/>
      <c r="C81" s="1174"/>
      <c r="D81" s="1168"/>
      <c r="E81" s="1178"/>
      <c r="F81" s="1836"/>
      <c r="G81" s="1837"/>
      <c r="H81" s="2536" t="s">
        <v>168</v>
      </c>
      <c r="I81" s="2537"/>
      <c r="J81" s="2506"/>
      <c r="K81" s="2538"/>
      <c r="L81" s="2128"/>
      <c r="M81" s="2129"/>
      <c r="N81" s="1183"/>
      <c r="O81" s="1184"/>
      <c r="P81" s="1176" t="s">
        <v>1087</v>
      </c>
      <c r="Q81" s="1184"/>
      <c r="R81" s="1184"/>
      <c r="S81" s="1184"/>
      <c r="T81" s="1184"/>
      <c r="U81" s="1184"/>
      <c r="V81" s="1184"/>
      <c r="W81" s="1184"/>
      <c r="X81" s="1184"/>
      <c r="Y81" s="1184"/>
      <c r="Z81" s="1184"/>
      <c r="AA81" s="1184"/>
      <c r="AB81" s="1184"/>
      <c r="AC81" s="1184"/>
      <c r="AD81" s="1184"/>
      <c r="AE81" s="1191"/>
      <c r="AF81" s="2527"/>
      <c r="AG81" s="2528"/>
      <c r="AH81" s="2528"/>
      <c r="AI81" s="2734"/>
      <c r="AJ81" s="2528"/>
      <c r="AK81" s="2528"/>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c r="BG81" s="1643"/>
    </row>
    <row customHeight="1" ht="11.25">
      <c r="A82" s="1174" t="s">
        <v>1040</v>
      </c>
      <c r="B82" s="1174" t="s">
        <v>22</v>
      </c>
      <c r="C82" s="1174"/>
      <c r="D82" s="1168"/>
      <c r="E82" s="1178"/>
      <c r="F82" s="1836"/>
      <c r="G82" s="691" t="s">
        <v>103</v>
      </c>
      <c r="H82" s="2536" t="s">
        <v>170</v>
      </c>
      <c r="I82" s="2537" t="s">
        <v>1098</v>
      </c>
      <c r="J82" s="2739" t="s">
        <v>22</v>
      </c>
      <c r="K82" s="2538" t="s">
        <v>1115</v>
      </c>
      <c r="L82" s="2128" t="s">
        <v>19</v>
      </c>
      <c r="M82" s="2129"/>
      <c r="N82" s="1991"/>
      <c r="O82" s="1185" t="s">
        <v>393</v>
      </c>
      <c r="P82" s="1186"/>
      <c r="Q82" s="1186"/>
      <c r="R82" s="1186"/>
      <c r="S82" s="1186"/>
      <c r="T82" s="1186"/>
      <c r="U82" s="1186"/>
      <c r="V82" s="1186"/>
      <c r="W82" s="1186"/>
      <c r="X82" s="1186"/>
      <c r="Y82" s="1186"/>
      <c r="Z82" s="1186"/>
      <c r="AA82" s="1186"/>
      <c r="AB82" s="1186"/>
      <c r="AC82" s="1186"/>
      <c r="AD82" s="1186"/>
      <c r="AE82" s="1186"/>
      <c r="AF82" s="2527">
        <v>1</v>
      </c>
      <c r="AG82" s="2528" t="s">
        <v>1100</v>
      </c>
      <c r="AH82" s="2528" t="s">
        <v>1091</v>
      </c>
      <c r="AI82" s="2527">
        <v>1</v>
      </c>
      <c r="AJ82" s="2528" t="s">
        <v>1100</v>
      </c>
      <c r="AK82" s="2528" t="s">
        <v>1091</v>
      </c>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c r="BG82" s="1643"/>
    </row>
    <row customHeight="1" ht="11.25">
      <c r="A83" s="1174" t="s">
        <v>1040</v>
      </c>
      <c r="B83" s="1174"/>
      <c r="C83" s="1174"/>
      <c r="D83" s="1168"/>
      <c r="E83" s="1178"/>
      <c r="F83" s="1836"/>
      <c r="G83" s="1837"/>
      <c r="H83" s="2536" t="s">
        <v>169</v>
      </c>
      <c r="I83" s="2537"/>
      <c r="J83" s="2739"/>
      <c r="K83" s="2538"/>
      <c r="L83" s="2128"/>
      <c r="M83" s="2129"/>
      <c r="N83" s="2529"/>
      <c r="O83" s="2530">
        <v>1</v>
      </c>
      <c r="P83" s="2531" t="s">
        <v>19</v>
      </c>
      <c r="Q83" s="2534" t="s">
        <v>22</v>
      </c>
      <c r="R83" s="2534" t="s">
        <v>22</v>
      </c>
      <c r="S83" s="2534" t="s">
        <v>22</v>
      </c>
      <c r="T83" s="2534" t="s">
        <v>22</v>
      </c>
      <c r="U83" s="2534" t="s">
        <v>22</v>
      </c>
      <c r="V83" s="2534" t="s">
        <v>22</v>
      </c>
      <c r="W83" s="2534" t="s">
        <v>22</v>
      </c>
      <c r="X83" s="2534" t="s">
        <v>22</v>
      </c>
      <c r="Y83" s="2534"/>
      <c r="Z83" s="1183"/>
      <c r="AA83" s="1184"/>
      <c r="AB83" s="1184"/>
      <c r="AC83" s="1188"/>
      <c r="AD83" s="1188"/>
      <c r="AE83" s="1189"/>
      <c r="AF83" s="2527"/>
      <c r="AG83" s="2528"/>
      <c r="AH83" s="2528"/>
      <c r="AI83" s="2527"/>
      <c r="AJ83" s="2528"/>
      <c r="AK83" s="2528"/>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c r="BG83" s="1643"/>
    </row>
    <row customHeight="1" ht="11.25">
      <c r="A84" s="1174" t="s">
        <v>1040</v>
      </c>
      <c r="B84" s="1174"/>
      <c r="C84" s="1174"/>
      <c r="D84" s="1168"/>
      <c r="E84" s="1178"/>
      <c r="F84" s="1836"/>
      <c r="G84" s="1837"/>
      <c r="H84" s="2536" t="s">
        <v>169</v>
      </c>
      <c r="I84" s="2537"/>
      <c r="J84" s="2739"/>
      <c r="K84" s="2538"/>
      <c r="L84" s="2128"/>
      <c r="M84" s="2129"/>
      <c r="N84" s="2529"/>
      <c r="O84" s="2530"/>
      <c r="P84" s="2532"/>
      <c r="Q84" s="2534"/>
      <c r="R84" s="2534"/>
      <c r="S84" s="2535"/>
      <c r="T84" s="2534"/>
      <c r="U84" s="2534"/>
      <c r="V84" s="2534"/>
      <c r="W84" s="2534"/>
      <c r="X84" s="2534"/>
      <c r="Y84" s="2534"/>
      <c r="Z84" s="1835"/>
      <c r="AA84" s="1801">
        <v>1</v>
      </c>
      <c r="AB84" s="1187" t="s">
        <v>1094</v>
      </c>
      <c r="AC84" s="1177">
        <v>1476.29</v>
      </c>
      <c r="AD84" s="1187" t="str">
        <f>AB84</f>
        <v>      Амортизационные отчисления с выделением результатов переоценки основных средств и нематериальных активов</v>
      </c>
      <c r="AE84" s="1177">
        <v>1555.29506</v>
      </c>
      <c r="AF84" s="2527"/>
      <c r="AG84" s="2528"/>
      <c r="AH84" s="2528"/>
      <c r="AI84" s="2527"/>
      <c r="AJ84" s="2528"/>
      <c r="AK84" s="2528"/>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c r="BG84" s="1643"/>
    </row>
    <row customHeight="1" ht="11.25">
      <c r="A85" s="1174" t="s">
        <v>1040</v>
      </c>
      <c r="B85" s="1174"/>
      <c r="C85" s="1174"/>
      <c r="D85" s="1168"/>
      <c r="E85" s="1178"/>
      <c r="F85" s="1837"/>
      <c r="G85" s="1837"/>
      <c r="H85" s="1837"/>
      <c r="I85" s="1837"/>
      <c r="J85" s="1837"/>
      <c r="K85" s="1837"/>
      <c r="L85" s="1837"/>
      <c r="M85" s="1837"/>
      <c r="N85" s="1837"/>
      <c r="O85" s="1837"/>
      <c r="P85" s="1837"/>
      <c r="Q85" s="1837"/>
      <c r="R85" s="1837"/>
      <c r="S85" s="1837"/>
      <c r="T85" s="1837"/>
      <c r="U85" s="1837"/>
      <c r="V85" s="1837"/>
      <c r="W85" s="1837"/>
      <c r="X85" s="1837"/>
      <c r="Y85" s="1837"/>
      <c r="Z85" s="691" t="s">
        <v>103</v>
      </c>
      <c r="AA85" s="1821" t="s">
        <v>102</v>
      </c>
      <c r="AB85" s="1187" t="s">
        <v>1085</v>
      </c>
      <c r="AC85" s="1177">
        <v>32386.06</v>
      </c>
      <c r="AD85" s="1187" t="str">
        <f>AB85</f>
        <v>  Прочие собственные средства</v>
      </c>
      <c r="AE85" s="1177">
        <v>32401.85861</v>
      </c>
      <c r="AF85" s="2094"/>
      <c r="AG85" s="1766"/>
      <c r="AH85" s="1766"/>
      <c r="AI85" s="2094"/>
      <c r="AJ85" s="1766"/>
      <c r="AK85" s="1992"/>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c r="BG85" s="1643"/>
    </row>
    <row customHeight="1" ht="11.25">
      <c r="A86" s="1174" t="s">
        <v>1040</v>
      </c>
      <c r="B86" s="1174"/>
      <c r="C86" s="1174"/>
      <c r="D86" s="1168"/>
      <c r="E86" s="1178"/>
      <c r="F86" s="1836"/>
      <c r="G86" s="1837"/>
      <c r="H86" s="2536" t="s">
        <v>169</v>
      </c>
      <c r="I86" s="2537"/>
      <c r="J86" s="2739"/>
      <c r="K86" s="2538"/>
      <c r="L86" s="2128"/>
      <c r="M86" s="2129"/>
      <c r="N86" s="2529"/>
      <c r="O86" s="2530"/>
      <c r="P86" s="2533"/>
      <c r="Q86" s="2534"/>
      <c r="R86" s="2534"/>
      <c r="S86" s="2535"/>
      <c r="T86" s="2534"/>
      <c r="U86" s="2534"/>
      <c r="V86" s="2534"/>
      <c r="W86" s="2534"/>
      <c r="X86" s="2534"/>
      <c r="Y86" s="2534"/>
      <c r="Z86" s="1183"/>
      <c r="AA86" s="1184"/>
      <c r="AB86" s="1249" t="s">
        <v>1086</v>
      </c>
      <c r="AC86" s="1188"/>
      <c r="AD86" s="1188"/>
      <c r="AE86" s="1190"/>
      <c r="AF86" s="2527"/>
      <c r="AG86" s="2528"/>
      <c r="AH86" s="2528"/>
      <c r="AI86" s="2527"/>
      <c r="AJ86" s="2528"/>
      <c r="AK86" s="2528"/>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c r="BG86" s="1643"/>
    </row>
    <row customHeight="1" ht="11.25">
      <c r="A87" s="1174" t="s">
        <v>1040</v>
      </c>
      <c r="B87" s="1174"/>
      <c r="C87" s="1174"/>
      <c r="D87" s="1168"/>
      <c r="E87" s="1178"/>
      <c r="F87" s="1836"/>
      <c r="G87" s="1837"/>
      <c r="H87" s="2536" t="s">
        <v>169</v>
      </c>
      <c r="I87" s="2537"/>
      <c r="J87" s="2739"/>
      <c r="K87" s="2538"/>
      <c r="L87" s="2128"/>
      <c r="M87" s="2129"/>
      <c r="N87" s="1183"/>
      <c r="O87" s="1184"/>
      <c r="P87" s="1176" t="s">
        <v>1087</v>
      </c>
      <c r="Q87" s="1184"/>
      <c r="R87" s="1184"/>
      <c r="S87" s="1184"/>
      <c r="T87" s="1184"/>
      <c r="U87" s="1184"/>
      <c r="V87" s="1184"/>
      <c r="W87" s="1184"/>
      <c r="X87" s="1184"/>
      <c r="Y87" s="1184"/>
      <c r="Z87" s="1184"/>
      <c r="AA87" s="1184"/>
      <c r="AB87" s="1184"/>
      <c r="AC87" s="1184"/>
      <c r="AD87" s="1184"/>
      <c r="AE87" s="1191"/>
      <c r="AF87" s="2527"/>
      <c r="AG87" s="2528"/>
      <c r="AH87" s="2528"/>
      <c r="AI87" s="2527"/>
      <c r="AJ87" s="2528"/>
      <c r="AK87" s="2528"/>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c r="BG87" s="1643"/>
    </row>
    <row customHeight="1" ht="11.25">
      <c r="A88" s="1174" t="s">
        <v>1040</v>
      </c>
      <c r="B88" s="1174" t="s">
        <v>22</v>
      </c>
      <c r="C88" s="1174"/>
      <c r="D88" s="1168"/>
      <c r="E88" s="1178"/>
      <c r="F88" s="1836"/>
      <c r="G88" s="691" t="s">
        <v>103</v>
      </c>
      <c r="H88" s="2536" t="s">
        <v>171</v>
      </c>
      <c r="I88" s="2537" t="s">
        <v>1116</v>
      </c>
      <c r="J88" s="2739" t="s">
        <v>22</v>
      </c>
      <c r="K88" s="2538" t="s">
        <v>1117</v>
      </c>
      <c r="L88" s="2128" t="s">
        <v>19</v>
      </c>
      <c r="M88" s="2129"/>
      <c r="N88" s="1991"/>
      <c r="O88" s="1185" t="s">
        <v>393</v>
      </c>
      <c r="P88" s="1186"/>
      <c r="Q88" s="1186"/>
      <c r="R88" s="1186"/>
      <c r="S88" s="1186"/>
      <c r="T88" s="1186"/>
      <c r="U88" s="1186"/>
      <c r="V88" s="1186"/>
      <c r="W88" s="1186"/>
      <c r="X88" s="1186"/>
      <c r="Y88" s="1186"/>
      <c r="Z88" s="1186"/>
      <c r="AA88" s="1186"/>
      <c r="AB88" s="1186"/>
      <c r="AC88" s="1186"/>
      <c r="AD88" s="1186"/>
      <c r="AE88" s="1186"/>
      <c r="AF88" s="2527">
        <v>3</v>
      </c>
      <c r="AG88" s="2528" t="s">
        <v>1100</v>
      </c>
      <c r="AH88" s="2528" t="s">
        <v>1096</v>
      </c>
      <c r="AI88" s="2734"/>
      <c r="AJ88" s="2528" t="s">
        <v>1078</v>
      </c>
      <c r="AK88" s="2528" t="s">
        <v>1078</v>
      </c>
      <c r="AL88" s="1993"/>
      <c r="AM88" s="1830"/>
      <c r="AN88" s="1830"/>
      <c r="AO88" s="1830"/>
      <c r="AP88" s="1830"/>
      <c r="AQ88" s="1830"/>
      <c r="AR88" s="1830"/>
      <c r="AS88" s="1830"/>
      <c r="AT88" s="1830"/>
      <c r="AU88" s="1830"/>
      <c r="AV88" s="1830"/>
      <c r="AW88" s="1830"/>
      <c r="AX88" s="1830"/>
      <c r="AY88" s="1830"/>
      <c r="AZ88" s="1830"/>
      <c r="BA88" s="1830"/>
      <c r="BB88" s="1830"/>
      <c r="BC88" s="1830"/>
      <c r="BD88" s="1830"/>
      <c r="BE88" s="1830"/>
      <c r="BF88" s="1830"/>
      <c r="BG88" s="1643"/>
    </row>
    <row customHeight="1" ht="11.25">
      <c r="A89" s="1174" t="s">
        <v>1040</v>
      </c>
      <c r="B89" s="1174"/>
      <c r="C89" s="1174"/>
      <c r="D89" s="1168"/>
      <c r="E89" s="1178"/>
      <c r="F89" s="1836"/>
      <c r="G89" s="1837"/>
      <c r="H89" s="2536" t="s">
        <v>170</v>
      </c>
      <c r="I89" s="2537"/>
      <c r="J89" s="2739"/>
      <c r="K89" s="2538"/>
      <c r="L89" s="2128"/>
      <c r="M89" s="2129"/>
      <c r="N89" s="2529"/>
      <c r="O89" s="2530">
        <v>1</v>
      </c>
      <c r="P89" s="2531" t="s">
        <v>61</v>
      </c>
      <c r="Q89" s="2735" t="s">
        <v>1079</v>
      </c>
      <c r="R89" s="2736" t="s">
        <v>1080</v>
      </c>
      <c r="S89" s="2736" t="s">
        <v>99</v>
      </c>
      <c r="T89" s="2736" t="s">
        <v>99</v>
      </c>
      <c r="U89" s="2736" t="s">
        <v>100</v>
      </c>
      <c r="V89" s="2736" t="s">
        <v>1081</v>
      </c>
      <c r="W89" s="2736" t="s">
        <v>1082</v>
      </c>
      <c r="X89" s="2736" t="s">
        <v>1083</v>
      </c>
      <c r="Y89" s="2736" t="s">
        <v>1084</v>
      </c>
      <c r="Z89" s="1183"/>
      <c r="AA89" s="1184"/>
      <c r="AB89" s="1184"/>
      <c r="AC89" s="1188"/>
      <c r="AD89" s="1188"/>
      <c r="AE89" s="1189"/>
      <c r="AF89" s="2527"/>
      <c r="AG89" s="2528"/>
      <c r="AH89" s="2528"/>
      <c r="AI89" s="2734"/>
      <c r="AJ89" s="2528"/>
      <c r="AK89" s="2528"/>
      <c r="AL89" s="1993"/>
      <c r="AM89" s="1830"/>
      <c r="AN89" s="1830"/>
      <c r="AO89" s="1830"/>
      <c r="AP89" s="1830"/>
      <c r="AQ89" s="1830"/>
      <c r="AR89" s="1830"/>
      <c r="AS89" s="1830"/>
      <c r="AT89" s="1830"/>
      <c r="AU89" s="1830"/>
      <c r="AV89" s="1830"/>
      <c r="AW89" s="1830"/>
      <c r="AX89" s="1830"/>
      <c r="AY89" s="1830"/>
      <c r="AZ89" s="1830"/>
      <c r="BA89" s="1830"/>
      <c r="BB89" s="1830"/>
      <c r="BC89" s="1830"/>
      <c r="BD89" s="1830"/>
      <c r="BE89" s="1830"/>
      <c r="BF89" s="1830"/>
      <c r="BG89" s="1643"/>
    </row>
    <row customHeight="1" ht="11.25">
      <c r="A90" s="1174" t="s">
        <v>1040</v>
      </c>
      <c r="B90" s="1174"/>
      <c r="C90" s="1174"/>
      <c r="D90" s="1168"/>
      <c r="E90" s="1178"/>
      <c r="F90" s="1836"/>
      <c r="G90" s="1837"/>
      <c r="H90" s="2536" t="s">
        <v>170</v>
      </c>
      <c r="I90" s="2537"/>
      <c r="J90" s="2739"/>
      <c r="K90" s="2538"/>
      <c r="L90" s="2128"/>
      <c r="M90" s="2129"/>
      <c r="N90" s="2529"/>
      <c r="O90" s="2530"/>
      <c r="P90" s="2532"/>
      <c r="Q90" s="2735"/>
      <c r="R90" s="2534"/>
      <c r="S90" s="2535"/>
      <c r="T90" s="2534"/>
      <c r="U90" s="2534"/>
      <c r="V90" s="2534"/>
      <c r="W90" s="2534"/>
      <c r="X90" s="2534"/>
      <c r="Y90" s="2534"/>
      <c r="Z90" s="1835"/>
      <c r="AA90" s="1801">
        <v>1</v>
      </c>
      <c r="AB90" s="1187" t="s">
        <v>1085</v>
      </c>
      <c r="AC90" s="1177">
        <v>24352.97</v>
      </c>
      <c r="AD90" s="1187" t="str">
        <f>AB90</f>
        <v>  Прочие собственные средства</v>
      </c>
      <c r="AE90" s="1177">
        <v>3745.4599</v>
      </c>
      <c r="AF90" s="2527"/>
      <c r="AG90" s="2528"/>
      <c r="AH90" s="2528"/>
      <c r="AI90" s="2734"/>
      <c r="AJ90" s="2528"/>
      <c r="AK90" s="2528"/>
      <c r="AL90" s="1993"/>
      <c r="AM90" s="1830"/>
      <c r="AN90" s="1830"/>
      <c r="AO90" s="1830"/>
      <c r="AP90" s="1830"/>
      <c r="AQ90" s="1830"/>
      <c r="AR90" s="1830"/>
      <c r="AS90" s="1830"/>
      <c r="AT90" s="1830"/>
      <c r="AU90" s="1830"/>
      <c r="AV90" s="1830"/>
      <c r="AW90" s="1830"/>
      <c r="AX90" s="1830"/>
      <c r="AY90" s="1830"/>
      <c r="AZ90" s="1830"/>
      <c r="BA90" s="1830"/>
      <c r="BB90" s="1830"/>
      <c r="BC90" s="1830"/>
      <c r="BD90" s="1830"/>
      <c r="BE90" s="1830"/>
      <c r="BF90" s="1830"/>
      <c r="BG90" s="1643"/>
    </row>
    <row customHeight="1" ht="11.25">
      <c r="A91" s="1174" t="s">
        <v>1040</v>
      </c>
      <c r="B91" s="1174"/>
      <c r="C91" s="1174"/>
      <c r="D91" s="1168"/>
      <c r="E91" s="1178"/>
      <c r="F91" s="1836"/>
      <c r="G91" s="1837"/>
      <c r="H91" s="2536" t="s">
        <v>170</v>
      </c>
      <c r="I91" s="2537"/>
      <c r="J91" s="2739"/>
      <c r="K91" s="2538"/>
      <c r="L91" s="2128"/>
      <c r="M91" s="2129"/>
      <c r="N91" s="2529"/>
      <c r="O91" s="2530"/>
      <c r="P91" s="2533"/>
      <c r="Q91" s="2735"/>
      <c r="R91" s="2534"/>
      <c r="S91" s="2535"/>
      <c r="T91" s="2534"/>
      <c r="U91" s="2534"/>
      <c r="V91" s="2534"/>
      <c r="W91" s="2534"/>
      <c r="X91" s="2534"/>
      <c r="Y91" s="2534"/>
      <c r="Z91" s="1183"/>
      <c r="AA91" s="1184"/>
      <c r="AB91" s="1249" t="s">
        <v>1086</v>
      </c>
      <c r="AC91" s="1188"/>
      <c r="AD91" s="1188"/>
      <c r="AE91" s="1190"/>
      <c r="AF91" s="2527"/>
      <c r="AG91" s="2528"/>
      <c r="AH91" s="2528"/>
      <c r="AI91" s="2734"/>
      <c r="AJ91" s="2528"/>
      <c r="AK91" s="2528"/>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c r="BG91" s="1643"/>
    </row>
    <row customHeight="1" ht="11.25">
      <c r="A92" s="1174" t="s">
        <v>1040</v>
      </c>
      <c r="B92" s="1174"/>
      <c r="C92" s="1174"/>
      <c r="D92" s="1168"/>
      <c r="E92" s="1178"/>
      <c r="F92" s="1836"/>
      <c r="G92" s="1837"/>
      <c r="H92" s="2536" t="s">
        <v>170</v>
      </c>
      <c r="I92" s="2537"/>
      <c r="J92" s="2739"/>
      <c r="K92" s="2538"/>
      <c r="L92" s="2128"/>
      <c r="M92" s="2129"/>
      <c r="N92" s="1183"/>
      <c r="O92" s="1184"/>
      <c r="P92" s="1176" t="s">
        <v>1087</v>
      </c>
      <c r="Q92" s="1184"/>
      <c r="R92" s="1184"/>
      <c r="S92" s="1184"/>
      <c r="T92" s="1184"/>
      <c r="U92" s="1184"/>
      <c r="V92" s="1184"/>
      <c r="W92" s="1184"/>
      <c r="X92" s="1184"/>
      <c r="Y92" s="1184"/>
      <c r="Z92" s="1184"/>
      <c r="AA92" s="1184"/>
      <c r="AB92" s="1184"/>
      <c r="AC92" s="1184"/>
      <c r="AD92" s="1184"/>
      <c r="AE92" s="1191"/>
      <c r="AF92" s="2527"/>
      <c r="AG92" s="2528"/>
      <c r="AH92" s="2528"/>
      <c r="AI92" s="2734"/>
      <c r="AJ92" s="2528"/>
      <c r="AK92" s="2528"/>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c r="BG92" s="1643"/>
    </row>
    <row customHeight="1" ht="11.25">
      <c r="A93" s="1174" t="s">
        <v>1040</v>
      </c>
      <c r="B93" s="1174" t="s">
        <v>22</v>
      </c>
      <c r="C93" s="1174"/>
      <c r="D93" s="1168"/>
      <c r="E93" s="1178"/>
      <c r="F93" s="1836"/>
      <c r="G93" s="691" t="s">
        <v>103</v>
      </c>
      <c r="H93" s="2536" t="s">
        <v>172</v>
      </c>
      <c r="I93" s="2537" t="s">
        <v>1116</v>
      </c>
      <c r="J93" s="2739" t="s">
        <v>22</v>
      </c>
      <c r="K93" s="2538" t="s">
        <v>1118</v>
      </c>
      <c r="L93" s="2128" t="s">
        <v>19</v>
      </c>
      <c r="M93" s="2129"/>
      <c r="N93" s="1991"/>
      <c r="O93" s="1185" t="s">
        <v>393</v>
      </c>
      <c r="P93" s="1186"/>
      <c r="Q93" s="1186"/>
      <c r="R93" s="1186"/>
      <c r="S93" s="1186"/>
      <c r="T93" s="1186"/>
      <c r="U93" s="1186"/>
      <c r="V93" s="1186"/>
      <c r="W93" s="1186"/>
      <c r="X93" s="1186"/>
      <c r="Y93" s="1186"/>
      <c r="Z93" s="1186"/>
      <c r="AA93" s="1186"/>
      <c r="AB93" s="1186"/>
      <c r="AC93" s="1186"/>
      <c r="AD93" s="1186"/>
      <c r="AE93" s="1186"/>
      <c r="AF93" s="2527">
        <v>3</v>
      </c>
      <c r="AG93" s="2528" t="s">
        <v>1100</v>
      </c>
      <c r="AH93" s="2528" t="s">
        <v>1096</v>
      </c>
      <c r="AI93" s="2734"/>
      <c r="AJ93" s="2528" t="s">
        <v>1078</v>
      </c>
      <c r="AK93" s="2528" t="s">
        <v>1078</v>
      </c>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c r="BG93" s="1643"/>
    </row>
    <row customHeight="1" ht="11.25">
      <c r="A94" s="1174" t="s">
        <v>1040</v>
      </c>
      <c r="B94" s="1174"/>
      <c r="C94" s="1174"/>
      <c r="D94" s="1168"/>
      <c r="E94" s="1178"/>
      <c r="F94" s="1836"/>
      <c r="G94" s="1837"/>
      <c r="H94" s="2536" t="s">
        <v>171</v>
      </c>
      <c r="I94" s="2537"/>
      <c r="J94" s="2739"/>
      <c r="K94" s="2538"/>
      <c r="L94" s="2128"/>
      <c r="M94" s="2129"/>
      <c r="N94" s="2529"/>
      <c r="O94" s="2530">
        <v>1</v>
      </c>
      <c r="P94" s="2531" t="s">
        <v>61</v>
      </c>
      <c r="Q94" s="2735" t="s">
        <v>1079</v>
      </c>
      <c r="R94" s="2736" t="s">
        <v>1080</v>
      </c>
      <c r="S94" s="2736" t="s">
        <v>99</v>
      </c>
      <c r="T94" s="2736" t="s">
        <v>99</v>
      </c>
      <c r="U94" s="2736" t="s">
        <v>100</v>
      </c>
      <c r="V94" s="2736" t="s">
        <v>1081</v>
      </c>
      <c r="W94" s="2736" t="s">
        <v>1082</v>
      </c>
      <c r="X94" s="2736" t="s">
        <v>1083</v>
      </c>
      <c r="Y94" s="2736" t="s">
        <v>1084</v>
      </c>
      <c r="Z94" s="1183"/>
      <c r="AA94" s="1184"/>
      <c r="AB94" s="1184"/>
      <c r="AC94" s="1188"/>
      <c r="AD94" s="1188"/>
      <c r="AE94" s="1189"/>
      <c r="AF94" s="2527"/>
      <c r="AG94" s="2528"/>
      <c r="AH94" s="2528"/>
      <c r="AI94" s="2734"/>
      <c r="AJ94" s="2528"/>
      <c r="AK94" s="2528"/>
      <c r="AL94" s="1993"/>
      <c r="AM94" s="1830"/>
      <c r="AN94" s="1830"/>
      <c r="AO94" s="1830"/>
      <c r="AP94" s="1830"/>
      <c r="AQ94" s="1830"/>
      <c r="AR94" s="1830"/>
      <c r="AS94" s="1830"/>
      <c r="AT94" s="1830"/>
      <c r="AU94" s="1830"/>
      <c r="AV94" s="1830"/>
      <c r="AW94" s="1830"/>
      <c r="AX94" s="1830"/>
      <c r="AY94" s="1830"/>
      <c r="AZ94" s="1830"/>
      <c r="BA94" s="1830"/>
      <c r="BB94" s="1830"/>
      <c r="BC94" s="1830"/>
      <c r="BD94" s="1830"/>
      <c r="BE94" s="1830"/>
      <c r="BF94" s="1830"/>
      <c r="BG94" s="1643"/>
    </row>
    <row customHeight="1" ht="11.25">
      <c r="A95" s="1174" t="s">
        <v>1040</v>
      </c>
      <c r="B95" s="1174"/>
      <c r="C95" s="1174"/>
      <c r="D95" s="1168"/>
      <c r="E95" s="1178"/>
      <c r="F95" s="1836"/>
      <c r="G95" s="1837"/>
      <c r="H95" s="2536" t="s">
        <v>171</v>
      </c>
      <c r="I95" s="2537"/>
      <c r="J95" s="2739"/>
      <c r="K95" s="2538"/>
      <c r="L95" s="2128"/>
      <c r="M95" s="2129"/>
      <c r="N95" s="2529"/>
      <c r="O95" s="2530"/>
      <c r="P95" s="2532"/>
      <c r="Q95" s="2735"/>
      <c r="R95" s="2534"/>
      <c r="S95" s="2535"/>
      <c r="T95" s="2534"/>
      <c r="U95" s="2534"/>
      <c r="V95" s="2534"/>
      <c r="W95" s="2534"/>
      <c r="X95" s="2534"/>
      <c r="Y95" s="2534"/>
      <c r="Z95" s="1835"/>
      <c r="AA95" s="1801">
        <v>1</v>
      </c>
      <c r="AB95" s="1187" t="s">
        <v>1094</v>
      </c>
      <c r="AC95" s="1177">
        <v>2000</v>
      </c>
      <c r="AD95" s="1187" t="str">
        <f>AB95</f>
        <v>      Амортизационные отчисления с выделением результатов переоценки основных средств и нематериальных активов</v>
      </c>
      <c r="AE95" s="1177">
        <v>1099.1602</v>
      </c>
      <c r="AF95" s="2527"/>
      <c r="AG95" s="2528"/>
      <c r="AH95" s="2528"/>
      <c r="AI95" s="2734"/>
      <c r="AJ95" s="2528"/>
      <c r="AK95" s="2528"/>
      <c r="AL95" s="1993"/>
      <c r="AM95" s="1830"/>
      <c r="AN95" s="1830"/>
      <c r="AO95" s="1830"/>
      <c r="AP95" s="1830"/>
      <c r="AQ95" s="1830"/>
      <c r="AR95" s="1830"/>
      <c r="AS95" s="1830"/>
      <c r="AT95" s="1830"/>
      <c r="AU95" s="1830"/>
      <c r="AV95" s="1830"/>
      <c r="AW95" s="1830"/>
      <c r="AX95" s="1830"/>
      <c r="AY95" s="1830"/>
      <c r="AZ95" s="1830"/>
      <c r="BA95" s="1830"/>
      <c r="BB95" s="1830"/>
      <c r="BC95" s="1830"/>
      <c r="BD95" s="1830"/>
      <c r="BE95" s="1830"/>
      <c r="BF95" s="1830"/>
      <c r="BG95" s="1643"/>
    </row>
    <row customHeight="1" ht="11.25">
      <c r="A96" s="1174" t="s">
        <v>1040</v>
      </c>
      <c r="B96" s="1174"/>
      <c r="C96" s="1174"/>
      <c r="D96" s="1168"/>
      <c r="E96" s="1178"/>
      <c r="F96" s="1837"/>
      <c r="G96" s="1837"/>
      <c r="H96" s="1837"/>
      <c r="I96" s="1837"/>
      <c r="J96" s="1837"/>
      <c r="K96" s="1837"/>
      <c r="L96" s="1837"/>
      <c r="M96" s="1837"/>
      <c r="N96" s="1837"/>
      <c r="O96" s="1837"/>
      <c r="P96" s="1837"/>
      <c r="Q96" s="1837"/>
      <c r="R96" s="1837"/>
      <c r="S96" s="1837"/>
      <c r="T96" s="1837"/>
      <c r="U96" s="1837"/>
      <c r="V96" s="1837"/>
      <c r="W96" s="1837"/>
      <c r="X96" s="1837"/>
      <c r="Y96" s="1837"/>
      <c r="Z96" s="691" t="s">
        <v>103</v>
      </c>
      <c r="AA96" s="1821" t="s">
        <v>102</v>
      </c>
      <c r="AB96" s="1187" t="s">
        <v>1085</v>
      </c>
      <c r="AC96" s="1177">
        <v>400</v>
      </c>
      <c r="AD96" s="1187" t="str">
        <f>AB96</f>
        <v>  Прочие собственные средства</v>
      </c>
      <c r="AE96" s="1177">
        <v>0</v>
      </c>
      <c r="AF96" s="2094"/>
      <c r="AG96" s="1766"/>
      <c r="AH96" s="1766"/>
      <c r="AI96" s="2740"/>
      <c r="AJ96" s="1766"/>
      <c r="AK96" s="1992"/>
      <c r="AL96" s="1993"/>
      <c r="AM96" s="1830"/>
      <c r="AN96" s="1830"/>
      <c r="AO96" s="1830"/>
      <c r="AP96" s="1830"/>
      <c r="AQ96" s="1830"/>
      <c r="AR96" s="1830"/>
      <c r="AS96" s="1830"/>
      <c r="AT96" s="1830"/>
      <c r="AU96" s="1830"/>
      <c r="AV96" s="1830"/>
      <c r="AW96" s="1830"/>
      <c r="AX96" s="1830"/>
      <c r="AY96" s="1830"/>
      <c r="AZ96" s="1830"/>
      <c r="BA96" s="1830"/>
      <c r="BB96" s="1830"/>
      <c r="BC96" s="1830"/>
      <c r="BD96" s="1830"/>
      <c r="BE96" s="1830"/>
      <c r="BF96" s="1830"/>
      <c r="BG96" s="1643"/>
    </row>
    <row customHeight="1" ht="11.25">
      <c r="A97" s="1174" t="s">
        <v>1040</v>
      </c>
      <c r="B97" s="1174"/>
      <c r="C97" s="1174"/>
      <c r="D97" s="1168"/>
      <c r="E97" s="1178"/>
      <c r="F97" s="1836"/>
      <c r="G97" s="1837"/>
      <c r="H97" s="2536" t="s">
        <v>171</v>
      </c>
      <c r="I97" s="2537"/>
      <c r="J97" s="2739"/>
      <c r="K97" s="2538"/>
      <c r="L97" s="2128"/>
      <c r="M97" s="2129"/>
      <c r="N97" s="2529"/>
      <c r="O97" s="2530"/>
      <c r="P97" s="2533"/>
      <c r="Q97" s="2735"/>
      <c r="R97" s="2534"/>
      <c r="S97" s="2535"/>
      <c r="T97" s="2534"/>
      <c r="U97" s="2534"/>
      <c r="V97" s="2534"/>
      <c r="W97" s="2534"/>
      <c r="X97" s="2534"/>
      <c r="Y97" s="2534"/>
      <c r="Z97" s="1183"/>
      <c r="AA97" s="1184"/>
      <c r="AB97" s="1249" t="s">
        <v>1086</v>
      </c>
      <c r="AC97" s="1188"/>
      <c r="AD97" s="1188"/>
      <c r="AE97" s="1190"/>
      <c r="AF97" s="2527"/>
      <c r="AG97" s="2528"/>
      <c r="AH97" s="2528"/>
      <c r="AI97" s="2734"/>
      <c r="AJ97" s="2528"/>
      <c r="AK97" s="2528"/>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c r="BG97" s="1643"/>
    </row>
    <row customHeight="1" ht="11.25">
      <c r="A98" s="1174" t="s">
        <v>1040</v>
      </c>
      <c r="B98" s="1174"/>
      <c r="C98" s="1174"/>
      <c r="D98" s="1168"/>
      <c r="E98" s="1178"/>
      <c r="F98" s="1836"/>
      <c r="G98" s="1837"/>
      <c r="H98" s="2536" t="s">
        <v>171</v>
      </c>
      <c r="I98" s="2537"/>
      <c r="J98" s="2739"/>
      <c r="K98" s="2538"/>
      <c r="L98" s="2128"/>
      <c r="M98" s="2129"/>
      <c r="N98" s="1183"/>
      <c r="O98" s="1184"/>
      <c r="P98" s="1176" t="s">
        <v>1087</v>
      </c>
      <c r="Q98" s="1184"/>
      <c r="R98" s="1184"/>
      <c r="S98" s="1184"/>
      <c r="T98" s="1184"/>
      <c r="U98" s="1184"/>
      <c r="V98" s="1184"/>
      <c r="W98" s="1184"/>
      <c r="X98" s="1184"/>
      <c r="Y98" s="1184"/>
      <c r="Z98" s="1184"/>
      <c r="AA98" s="1184"/>
      <c r="AB98" s="1184"/>
      <c r="AC98" s="1184"/>
      <c r="AD98" s="1184"/>
      <c r="AE98" s="1191"/>
      <c r="AF98" s="2527"/>
      <c r="AG98" s="2528"/>
      <c r="AH98" s="2528"/>
      <c r="AI98" s="2734"/>
      <c r="AJ98" s="2528"/>
      <c r="AK98" s="2528"/>
      <c r="AL98" s="1993"/>
      <c r="AM98" s="1830"/>
      <c r="AN98" s="1830"/>
      <c r="AO98" s="1830"/>
      <c r="AP98" s="1830"/>
      <c r="AQ98" s="1830"/>
      <c r="AR98" s="1830"/>
      <c r="AS98" s="1830"/>
      <c r="AT98" s="1830"/>
      <c r="AU98" s="1830"/>
      <c r="AV98" s="1830"/>
      <c r="AW98" s="1830"/>
      <c r="AX98" s="1830"/>
      <c r="AY98" s="1830"/>
      <c r="AZ98" s="1830"/>
      <c r="BA98" s="1830"/>
      <c r="BB98" s="1830"/>
      <c r="BC98" s="1830"/>
      <c r="BD98" s="1830"/>
      <c r="BE98" s="1830"/>
      <c r="BF98" s="1830"/>
      <c r="BG98" s="1643"/>
    </row>
    <row customHeight="1" ht="11.25">
      <c r="A99" s="1174" t="s">
        <v>1040</v>
      </c>
      <c r="B99" s="1174" t="s">
        <v>1119</v>
      </c>
      <c r="C99" s="1174"/>
      <c r="D99" s="1168"/>
      <c r="E99" s="1178"/>
      <c r="F99" s="1836"/>
      <c r="G99" s="691" t="s">
        <v>103</v>
      </c>
      <c r="H99" s="2536" t="s">
        <v>1120</v>
      </c>
      <c r="I99" s="2537" t="s">
        <v>1121</v>
      </c>
      <c r="J99" s="2506" t="s">
        <v>1122</v>
      </c>
      <c r="K99" s="2538" t="s">
        <v>1123</v>
      </c>
      <c r="L99" s="2128" t="s">
        <v>19</v>
      </c>
      <c r="M99" s="2129"/>
      <c r="N99" s="1991"/>
      <c r="O99" s="1185" t="s">
        <v>393</v>
      </c>
      <c r="P99" s="1186"/>
      <c r="Q99" s="1186"/>
      <c r="R99" s="1186"/>
      <c r="S99" s="1186"/>
      <c r="T99" s="1186"/>
      <c r="U99" s="1186"/>
      <c r="V99" s="1186"/>
      <c r="W99" s="1186"/>
      <c r="X99" s="1186"/>
      <c r="Y99" s="1186"/>
      <c r="Z99" s="1186"/>
      <c r="AA99" s="1186"/>
      <c r="AB99" s="1186"/>
      <c r="AC99" s="1186"/>
      <c r="AD99" s="1186"/>
      <c r="AE99" s="1186"/>
      <c r="AF99" s="2527">
        <v>1</v>
      </c>
      <c r="AG99" s="2528" t="s">
        <v>1076</v>
      </c>
      <c r="AH99" s="2528" t="s">
        <v>1091</v>
      </c>
      <c r="AI99" s="2527">
        <v>1</v>
      </c>
      <c r="AJ99" s="2528" t="s">
        <v>1100</v>
      </c>
      <c r="AK99" s="2528" t="s">
        <v>1093</v>
      </c>
      <c r="AL99" s="1993"/>
      <c r="AM99" s="1830"/>
      <c r="AN99" s="1830"/>
      <c r="AO99" s="1830"/>
      <c r="AP99" s="1830"/>
      <c r="AQ99" s="1830"/>
      <c r="AR99" s="1830"/>
      <c r="AS99" s="1830"/>
      <c r="AT99" s="1830"/>
      <c r="AU99" s="1830"/>
      <c r="AV99" s="1830"/>
      <c r="AW99" s="1830"/>
      <c r="AX99" s="1830"/>
      <c r="AY99" s="1830"/>
      <c r="AZ99" s="1830"/>
      <c r="BA99" s="1830"/>
      <c r="BB99" s="1830"/>
      <c r="BC99" s="1830"/>
      <c r="BD99" s="1830"/>
      <c r="BE99" s="1830"/>
      <c r="BF99" s="1830"/>
      <c r="BG99" s="1643"/>
    </row>
    <row customHeight="1" ht="11.25">
      <c r="A100" s="1174" t="s">
        <v>1040</v>
      </c>
      <c r="B100" s="1174"/>
      <c r="C100" s="1174"/>
      <c r="D100" s="1168"/>
      <c r="E100" s="1178"/>
      <c r="F100" s="1836"/>
      <c r="G100" s="1837"/>
      <c r="H100" s="2536" t="s">
        <v>172</v>
      </c>
      <c r="I100" s="2537"/>
      <c r="J100" s="2506"/>
      <c r="K100" s="2538"/>
      <c r="L100" s="2128"/>
      <c r="M100" s="2129"/>
      <c r="N100" s="2529"/>
      <c r="O100" s="2530">
        <v>1</v>
      </c>
      <c r="P100" s="2531" t="s">
        <v>61</v>
      </c>
      <c r="Q100" s="2735" t="s">
        <v>1106</v>
      </c>
      <c r="R100" s="2736" t="s">
        <v>1080</v>
      </c>
      <c r="S100" s="2736" t="s">
        <v>106</v>
      </c>
      <c r="T100" s="2736" t="s">
        <v>106</v>
      </c>
      <c r="U100" s="2736" t="s">
        <v>107</v>
      </c>
      <c r="V100" s="2736" t="s">
        <v>1107</v>
      </c>
      <c r="W100" s="2736" t="s">
        <v>1108</v>
      </c>
      <c r="X100" s="2736" t="s">
        <v>1109</v>
      </c>
      <c r="Y100" s="2736" t="s">
        <v>120</v>
      </c>
      <c r="Z100" s="1183"/>
      <c r="AA100" s="1184"/>
      <c r="AB100" s="1184"/>
      <c r="AC100" s="1188"/>
      <c r="AD100" s="1188"/>
      <c r="AE100" s="1189"/>
      <c r="AF100" s="2527"/>
      <c r="AG100" s="2528"/>
      <c r="AH100" s="2528"/>
      <c r="AI100" s="2527"/>
      <c r="AJ100" s="2528"/>
      <c r="AK100" s="2528"/>
      <c r="AL100" s="1993"/>
      <c r="AM100" s="1830"/>
      <c r="AN100" s="1830"/>
      <c r="AO100" s="1830"/>
      <c r="AP100" s="1830"/>
      <c r="AQ100" s="1830"/>
      <c r="AR100" s="1830"/>
      <c r="AS100" s="1830"/>
      <c r="AT100" s="1830"/>
      <c r="AU100" s="1830"/>
      <c r="AV100" s="1830"/>
      <c r="AW100" s="1830"/>
      <c r="AX100" s="1830"/>
      <c r="AY100" s="1830"/>
      <c r="AZ100" s="1830"/>
      <c r="BA100" s="1830"/>
      <c r="BB100" s="1830"/>
      <c r="BC100" s="1830"/>
      <c r="BD100" s="1830"/>
      <c r="BE100" s="1830"/>
      <c r="BF100" s="1830"/>
      <c r="BG100" s="1643"/>
    </row>
    <row customHeight="1" ht="11.25">
      <c r="A101" s="1174" t="s">
        <v>1040</v>
      </c>
      <c r="B101" s="1174"/>
      <c r="C101" s="1174"/>
      <c r="D101" s="1168"/>
      <c r="E101" s="1178"/>
      <c r="F101" s="1836"/>
      <c r="G101" s="1837"/>
      <c r="H101" s="2536" t="s">
        <v>172</v>
      </c>
      <c r="I101" s="2537"/>
      <c r="J101" s="2506"/>
      <c r="K101" s="2538"/>
      <c r="L101" s="2128"/>
      <c r="M101" s="2129"/>
      <c r="N101" s="2529"/>
      <c r="O101" s="2530"/>
      <c r="P101" s="2532"/>
      <c r="Q101" s="2735"/>
      <c r="R101" s="2534"/>
      <c r="S101" s="2535"/>
      <c r="T101" s="2534"/>
      <c r="U101" s="2534"/>
      <c r="V101" s="2534"/>
      <c r="W101" s="2534"/>
      <c r="X101" s="2534"/>
      <c r="Y101" s="2534"/>
      <c r="Z101" s="1835"/>
      <c r="AA101" s="1801">
        <v>1</v>
      </c>
      <c r="AB101" s="1187" t="s">
        <v>1085</v>
      </c>
      <c r="AC101" s="1177">
        <v>1477.35</v>
      </c>
      <c r="AD101" s="1187" t="str">
        <f>AB101</f>
        <v>  Прочие собственные средства</v>
      </c>
      <c r="AE101" s="1177">
        <v>1477.34595</v>
      </c>
      <c r="AF101" s="2527"/>
      <c r="AG101" s="2528"/>
      <c r="AH101" s="2528"/>
      <c r="AI101" s="2527"/>
      <c r="AJ101" s="2528"/>
      <c r="AK101" s="2528"/>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c r="BG101" s="1643"/>
    </row>
    <row customHeight="1" ht="11.25">
      <c r="A102" s="1174" t="s">
        <v>1040</v>
      </c>
      <c r="B102" s="1174"/>
      <c r="C102" s="1174"/>
      <c r="D102" s="1168"/>
      <c r="E102" s="1178"/>
      <c r="F102" s="1836"/>
      <c r="G102" s="1837"/>
      <c r="H102" s="2536" t="s">
        <v>172</v>
      </c>
      <c r="I102" s="2537"/>
      <c r="J102" s="2506"/>
      <c r="K102" s="2538"/>
      <c r="L102" s="2128"/>
      <c r="M102" s="2129"/>
      <c r="N102" s="2529"/>
      <c r="O102" s="2530"/>
      <c r="P102" s="2533"/>
      <c r="Q102" s="2735"/>
      <c r="R102" s="2534"/>
      <c r="S102" s="2535"/>
      <c r="T102" s="2534"/>
      <c r="U102" s="2534"/>
      <c r="V102" s="2534"/>
      <c r="W102" s="2534"/>
      <c r="X102" s="2534"/>
      <c r="Y102" s="2534"/>
      <c r="Z102" s="1183"/>
      <c r="AA102" s="1184"/>
      <c r="AB102" s="1249" t="s">
        <v>1086</v>
      </c>
      <c r="AC102" s="1188"/>
      <c r="AD102" s="1188"/>
      <c r="AE102" s="1190"/>
      <c r="AF102" s="2527"/>
      <c r="AG102" s="2528"/>
      <c r="AH102" s="2528"/>
      <c r="AI102" s="2527"/>
      <c r="AJ102" s="2528"/>
      <c r="AK102" s="2528"/>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c r="BG102" s="1643"/>
    </row>
    <row customHeight="1" ht="11.25">
      <c r="A103" s="1174" t="s">
        <v>1040</v>
      </c>
      <c r="B103" s="1174"/>
      <c r="C103" s="1174"/>
      <c r="D103" s="1168"/>
      <c r="E103" s="1178"/>
      <c r="F103" s="1836"/>
      <c r="G103" s="1837"/>
      <c r="H103" s="2536" t="s">
        <v>172</v>
      </c>
      <c r="I103" s="2537"/>
      <c r="J103" s="2506"/>
      <c r="K103" s="2538"/>
      <c r="L103" s="2128"/>
      <c r="M103" s="2129"/>
      <c r="N103" s="1183"/>
      <c r="O103" s="1184"/>
      <c r="P103" s="1176" t="s">
        <v>1087</v>
      </c>
      <c r="Q103" s="1184"/>
      <c r="R103" s="1184"/>
      <c r="S103" s="1184"/>
      <c r="T103" s="1184"/>
      <c r="U103" s="1184"/>
      <c r="V103" s="1184"/>
      <c r="W103" s="1184"/>
      <c r="X103" s="1184"/>
      <c r="Y103" s="1184"/>
      <c r="Z103" s="1184"/>
      <c r="AA103" s="1184"/>
      <c r="AB103" s="1184"/>
      <c r="AC103" s="1184"/>
      <c r="AD103" s="1184"/>
      <c r="AE103" s="1191"/>
      <c r="AF103" s="2527"/>
      <c r="AG103" s="2528"/>
      <c r="AH103" s="2528"/>
      <c r="AI103" s="2527"/>
      <c r="AJ103" s="2528"/>
      <c r="AK103" s="2528"/>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c r="BG103" s="1643"/>
    </row>
    <row customHeight="1" ht="11.25">
      <c r="A104" s="1174" t="s">
        <v>1040</v>
      </c>
      <c r="B104" s="1174" t="s">
        <v>1119</v>
      </c>
      <c r="C104" s="1174"/>
      <c r="D104" s="1168"/>
      <c r="E104" s="1178"/>
      <c r="F104" s="1836"/>
      <c r="G104" s="691" t="s">
        <v>103</v>
      </c>
      <c r="H104" s="2536" t="s">
        <v>1124</v>
      </c>
      <c r="I104" s="2537" t="s">
        <v>1121</v>
      </c>
      <c r="J104" s="2506" t="s">
        <v>1125</v>
      </c>
      <c r="K104" s="2538" t="s">
        <v>1126</v>
      </c>
      <c r="L104" s="2128" t="s">
        <v>19</v>
      </c>
      <c r="M104" s="2129"/>
      <c r="N104" s="1991"/>
      <c r="O104" s="1185" t="s">
        <v>393</v>
      </c>
      <c r="P104" s="1186"/>
      <c r="Q104" s="1186"/>
      <c r="R104" s="1186"/>
      <c r="S104" s="1186"/>
      <c r="T104" s="1186"/>
      <c r="U104" s="1186"/>
      <c r="V104" s="1186"/>
      <c r="W104" s="1186"/>
      <c r="X104" s="1186"/>
      <c r="Y104" s="1186"/>
      <c r="Z104" s="1186"/>
      <c r="AA104" s="1186"/>
      <c r="AB104" s="1186"/>
      <c r="AC104" s="1186"/>
      <c r="AD104" s="1186"/>
      <c r="AE104" s="1186"/>
      <c r="AF104" s="2527">
        <v>1</v>
      </c>
      <c r="AG104" s="2528" t="s">
        <v>1076</v>
      </c>
      <c r="AH104" s="2528" t="s">
        <v>1091</v>
      </c>
      <c r="AI104" s="2527">
        <v>1</v>
      </c>
      <c r="AJ104" s="2528" t="s">
        <v>1127</v>
      </c>
      <c r="AK104" s="2528" t="s">
        <v>1091</v>
      </c>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c r="BG104" s="1643"/>
    </row>
    <row customHeight="1" ht="11.25">
      <c r="A105" s="1174" t="s">
        <v>1040</v>
      </c>
      <c r="B105" s="1174"/>
      <c r="C105" s="1174"/>
      <c r="D105" s="1168"/>
      <c r="E105" s="1178"/>
      <c r="F105" s="1836"/>
      <c r="G105" s="1837"/>
      <c r="H105" s="2536" t="s">
        <v>1120</v>
      </c>
      <c r="I105" s="2537"/>
      <c r="J105" s="2506"/>
      <c r="K105" s="2538"/>
      <c r="L105" s="2128"/>
      <c r="M105" s="2129"/>
      <c r="N105" s="2529"/>
      <c r="O105" s="2530">
        <v>1</v>
      </c>
      <c r="P105" s="2531" t="s">
        <v>61</v>
      </c>
      <c r="Q105" s="2735" t="s">
        <v>1079</v>
      </c>
      <c r="R105" s="2736" t="s">
        <v>1080</v>
      </c>
      <c r="S105" s="2736" t="s">
        <v>99</v>
      </c>
      <c r="T105" s="2736" t="s">
        <v>99</v>
      </c>
      <c r="U105" s="2736" t="s">
        <v>100</v>
      </c>
      <c r="V105" s="2736" t="s">
        <v>1081</v>
      </c>
      <c r="W105" s="2736" t="s">
        <v>1082</v>
      </c>
      <c r="X105" s="2736" t="s">
        <v>1083</v>
      </c>
      <c r="Y105" s="2736" t="s">
        <v>1084</v>
      </c>
      <c r="Z105" s="1183"/>
      <c r="AA105" s="1184"/>
      <c r="AB105" s="1184"/>
      <c r="AC105" s="1188"/>
      <c r="AD105" s="1188"/>
      <c r="AE105" s="1189"/>
      <c r="AF105" s="2527"/>
      <c r="AG105" s="2528"/>
      <c r="AH105" s="2528"/>
      <c r="AI105" s="2527"/>
      <c r="AJ105" s="2528"/>
      <c r="AK105" s="2528"/>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c r="BG105" s="1643"/>
    </row>
    <row customHeight="1" ht="11.25">
      <c r="A106" s="1174" t="s">
        <v>1040</v>
      </c>
      <c r="B106" s="1174"/>
      <c r="C106" s="1174"/>
      <c r="D106" s="1168"/>
      <c r="E106" s="1178"/>
      <c r="F106" s="1836"/>
      <c r="G106" s="1837"/>
      <c r="H106" s="2536" t="s">
        <v>1120</v>
      </c>
      <c r="I106" s="2537"/>
      <c r="J106" s="2506"/>
      <c r="K106" s="2538"/>
      <c r="L106" s="2128"/>
      <c r="M106" s="2129"/>
      <c r="N106" s="2529"/>
      <c r="O106" s="2530"/>
      <c r="P106" s="2532"/>
      <c r="Q106" s="2735"/>
      <c r="R106" s="2534"/>
      <c r="S106" s="2535"/>
      <c r="T106" s="2534"/>
      <c r="U106" s="2534"/>
      <c r="V106" s="2534"/>
      <c r="W106" s="2534"/>
      <c r="X106" s="2534"/>
      <c r="Y106" s="2534"/>
      <c r="Z106" s="1835"/>
      <c r="AA106" s="1801">
        <v>1</v>
      </c>
      <c r="AB106" s="1187" t="s">
        <v>1114</v>
      </c>
      <c r="AC106" s="1177">
        <v>4330.7</v>
      </c>
      <c r="AD106" s="1187" t="str">
        <f>AB106</f>
        <v>  За счет платы за технологическое присоединение</v>
      </c>
      <c r="AE106" s="1177">
        <v>4330.69941</v>
      </c>
      <c r="AF106" s="2527"/>
      <c r="AG106" s="2528"/>
      <c r="AH106" s="2528"/>
      <c r="AI106" s="2527"/>
      <c r="AJ106" s="2528"/>
      <c r="AK106" s="2528"/>
      <c r="AL106" s="1993"/>
      <c r="AM106" s="1830"/>
      <c r="AN106" s="1830"/>
      <c r="AO106" s="1830"/>
      <c r="AP106" s="1830"/>
      <c r="AQ106" s="1830"/>
      <c r="AR106" s="1830"/>
      <c r="AS106" s="1830"/>
      <c r="AT106" s="1830"/>
      <c r="AU106" s="1830"/>
      <c r="AV106" s="1830"/>
      <c r="AW106" s="1830"/>
      <c r="AX106" s="1830"/>
      <c r="AY106" s="1830"/>
      <c r="AZ106" s="1830"/>
      <c r="BA106" s="1830"/>
      <c r="BB106" s="1830"/>
      <c r="BC106" s="1830"/>
      <c r="BD106" s="1830"/>
      <c r="BE106" s="1830"/>
      <c r="BF106" s="1830"/>
      <c r="BG106" s="1643"/>
    </row>
    <row customHeight="1" ht="11.25">
      <c r="A107" s="1174" t="s">
        <v>1040</v>
      </c>
      <c r="B107" s="1174"/>
      <c r="C107" s="1174"/>
      <c r="D107" s="1168"/>
      <c r="E107" s="1178"/>
      <c r="F107" s="1837"/>
      <c r="G107" s="1837"/>
      <c r="H107" s="1837"/>
      <c r="I107" s="1837"/>
      <c r="J107" s="1837"/>
      <c r="K107" s="1837"/>
      <c r="L107" s="1837"/>
      <c r="M107" s="1837"/>
      <c r="N107" s="1837"/>
      <c r="O107" s="1837"/>
      <c r="P107" s="1837"/>
      <c r="Q107" s="1837"/>
      <c r="R107" s="1837"/>
      <c r="S107" s="1837"/>
      <c r="T107" s="1837"/>
      <c r="U107" s="1837"/>
      <c r="V107" s="1837"/>
      <c r="W107" s="1837"/>
      <c r="X107" s="1837"/>
      <c r="Y107" s="1837"/>
      <c r="Z107" s="691" t="s">
        <v>103</v>
      </c>
      <c r="AA107" s="1821" t="s">
        <v>102</v>
      </c>
      <c r="AB107" s="1187" t="s">
        <v>1085</v>
      </c>
      <c r="AC107" s="1177">
        <v>866.14</v>
      </c>
      <c r="AD107" s="1187" t="str">
        <f>AB107</f>
        <v>  Прочие собственные средства</v>
      </c>
      <c r="AE107" s="1177">
        <v>866.13988</v>
      </c>
      <c r="AF107" s="2094"/>
      <c r="AG107" s="1766"/>
      <c r="AH107" s="1766"/>
      <c r="AI107" s="2094"/>
      <c r="AJ107" s="1766"/>
      <c r="AK107" s="1992"/>
      <c r="AL107" s="1993"/>
      <c r="AM107" s="1830"/>
      <c r="AN107" s="1830"/>
      <c r="AO107" s="1830"/>
      <c r="AP107" s="1830"/>
      <c r="AQ107" s="1830"/>
      <c r="AR107" s="1830"/>
      <c r="AS107" s="1830"/>
      <c r="AT107" s="1830"/>
      <c r="AU107" s="1830"/>
      <c r="AV107" s="1830"/>
      <c r="AW107" s="1830"/>
      <c r="AX107" s="1830"/>
      <c r="AY107" s="1830"/>
      <c r="AZ107" s="1830"/>
      <c r="BA107" s="1830"/>
      <c r="BB107" s="1830"/>
      <c r="BC107" s="1830"/>
      <c r="BD107" s="1830"/>
      <c r="BE107" s="1830"/>
      <c r="BF107" s="1830"/>
      <c r="BG107" s="1643"/>
    </row>
    <row customHeight="1" ht="11.25">
      <c r="A108" s="1174" t="s">
        <v>1040</v>
      </c>
      <c r="B108" s="1174"/>
      <c r="C108" s="1174"/>
      <c r="D108" s="1168"/>
      <c r="E108" s="1178"/>
      <c r="F108" s="1836"/>
      <c r="G108" s="1837"/>
      <c r="H108" s="2536" t="s">
        <v>1120</v>
      </c>
      <c r="I108" s="2537"/>
      <c r="J108" s="2506"/>
      <c r="K108" s="2538"/>
      <c r="L108" s="2128"/>
      <c r="M108" s="2129"/>
      <c r="N108" s="2529"/>
      <c r="O108" s="2530"/>
      <c r="P108" s="2533"/>
      <c r="Q108" s="2735"/>
      <c r="R108" s="2534"/>
      <c r="S108" s="2535"/>
      <c r="T108" s="2534"/>
      <c r="U108" s="2534"/>
      <c r="V108" s="2534"/>
      <c r="W108" s="2534"/>
      <c r="X108" s="2534"/>
      <c r="Y108" s="2534"/>
      <c r="Z108" s="1183"/>
      <c r="AA108" s="1184"/>
      <c r="AB108" s="1249" t="s">
        <v>1086</v>
      </c>
      <c r="AC108" s="1188"/>
      <c r="AD108" s="1188"/>
      <c r="AE108" s="1190"/>
      <c r="AF108" s="2527"/>
      <c r="AG108" s="2528"/>
      <c r="AH108" s="2528"/>
      <c r="AI108" s="2527"/>
      <c r="AJ108" s="2528"/>
      <c r="AK108" s="2528"/>
      <c r="AL108" s="1993"/>
      <c r="AM108" s="1830"/>
      <c r="AN108" s="1830"/>
      <c r="AO108" s="1830"/>
      <c r="AP108" s="1830"/>
      <c r="AQ108" s="1830"/>
      <c r="AR108" s="1830"/>
      <c r="AS108" s="1830"/>
      <c r="AT108" s="1830"/>
      <c r="AU108" s="1830"/>
      <c r="AV108" s="1830"/>
      <c r="AW108" s="1830"/>
      <c r="AX108" s="1830"/>
      <c r="AY108" s="1830"/>
      <c r="AZ108" s="1830"/>
      <c r="BA108" s="1830"/>
      <c r="BB108" s="1830"/>
      <c r="BC108" s="1830"/>
      <c r="BD108" s="1830"/>
      <c r="BE108" s="1830"/>
      <c r="BF108" s="1830"/>
      <c r="BG108" s="1643"/>
    </row>
    <row customHeight="1" ht="11.25">
      <c r="A109" s="1174" t="s">
        <v>1040</v>
      </c>
      <c r="B109" s="1174"/>
      <c r="C109" s="1174"/>
      <c r="D109" s="1168"/>
      <c r="E109" s="1178"/>
      <c r="F109" s="1836"/>
      <c r="G109" s="1837"/>
      <c r="H109" s="2536" t="s">
        <v>1120</v>
      </c>
      <c r="I109" s="2537"/>
      <c r="J109" s="2506"/>
      <c r="K109" s="2538"/>
      <c r="L109" s="2128"/>
      <c r="M109" s="2129"/>
      <c r="N109" s="1183"/>
      <c r="O109" s="1184"/>
      <c r="P109" s="1176" t="s">
        <v>1087</v>
      </c>
      <c r="Q109" s="1184"/>
      <c r="R109" s="1184"/>
      <c r="S109" s="1184"/>
      <c r="T109" s="1184"/>
      <c r="U109" s="1184"/>
      <c r="V109" s="1184"/>
      <c r="W109" s="1184"/>
      <c r="X109" s="1184"/>
      <c r="Y109" s="1184"/>
      <c r="Z109" s="1184"/>
      <c r="AA109" s="1184"/>
      <c r="AB109" s="1184"/>
      <c r="AC109" s="1184"/>
      <c r="AD109" s="1184"/>
      <c r="AE109" s="1191"/>
      <c r="AF109" s="2527"/>
      <c r="AG109" s="2528"/>
      <c r="AH109" s="2528"/>
      <c r="AI109" s="2527"/>
      <c r="AJ109" s="2528"/>
      <c r="AK109" s="2528"/>
      <c r="AL109" s="1993"/>
      <c r="AM109" s="1830"/>
      <c r="AN109" s="1830"/>
      <c r="AO109" s="1830"/>
      <c r="AP109" s="1830"/>
      <c r="AQ109" s="1830"/>
      <c r="AR109" s="1830"/>
      <c r="AS109" s="1830"/>
      <c r="AT109" s="1830"/>
      <c r="AU109" s="1830"/>
      <c r="AV109" s="1830"/>
      <c r="AW109" s="1830"/>
      <c r="AX109" s="1830"/>
      <c r="AY109" s="1830"/>
      <c r="AZ109" s="1830"/>
      <c r="BA109" s="1830"/>
      <c r="BB109" s="1830"/>
      <c r="BC109" s="1830"/>
      <c r="BD109" s="1830"/>
      <c r="BE109" s="1830"/>
      <c r="BF109" s="1830"/>
      <c r="BG109" s="1643"/>
    </row>
    <row customHeight="1" ht="11.25">
      <c r="A110" s="1174" t="s">
        <v>1040</v>
      </c>
      <c r="B110" s="1174" t="s">
        <v>1119</v>
      </c>
      <c r="C110" s="1174"/>
      <c r="D110" s="1168"/>
      <c r="E110" s="1178"/>
      <c r="F110" s="1836"/>
      <c r="G110" s="691" t="s">
        <v>103</v>
      </c>
      <c r="H110" s="2536" t="s">
        <v>1128</v>
      </c>
      <c r="I110" s="2537" t="s">
        <v>1121</v>
      </c>
      <c r="J110" s="2506" t="s">
        <v>1125</v>
      </c>
      <c r="K110" s="2538" t="s">
        <v>1129</v>
      </c>
      <c r="L110" s="2128" t="s">
        <v>19</v>
      </c>
      <c r="M110" s="2129"/>
      <c r="N110" s="1991"/>
      <c r="O110" s="1185" t="s">
        <v>393</v>
      </c>
      <c r="P110" s="1186"/>
      <c r="Q110" s="1186"/>
      <c r="R110" s="1186"/>
      <c r="S110" s="1186"/>
      <c r="T110" s="1186"/>
      <c r="U110" s="1186"/>
      <c r="V110" s="1186"/>
      <c r="W110" s="1186"/>
      <c r="X110" s="1186"/>
      <c r="Y110" s="1186"/>
      <c r="Z110" s="1186"/>
      <c r="AA110" s="1186"/>
      <c r="AB110" s="1186"/>
      <c r="AC110" s="1186"/>
      <c r="AD110" s="1186"/>
      <c r="AE110" s="1186"/>
      <c r="AF110" s="2527">
        <v>1</v>
      </c>
      <c r="AG110" s="2528" t="s">
        <v>1076</v>
      </c>
      <c r="AH110" s="2528" t="s">
        <v>1091</v>
      </c>
      <c r="AI110" s="2527">
        <v>1</v>
      </c>
      <c r="AJ110" s="2528" t="s">
        <v>1100</v>
      </c>
      <c r="AK110" s="2528" t="s">
        <v>1091</v>
      </c>
      <c r="AL110" s="1993"/>
      <c r="AM110" s="1830"/>
      <c r="AN110" s="1830"/>
      <c r="AO110" s="1830"/>
      <c r="AP110" s="1830"/>
      <c r="AQ110" s="1830"/>
      <c r="AR110" s="1830"/>
      <c r="AS110" s="1830"/>
      <c r="AT110" s="1830"/>
      <c r="AU110" s="1830"/>
      <c r="AV110" s="1830"/>
      <c r="AW110" s="1830"/>
      <c r="AX110" s="1830"/>
      <c r="AY110" s="1830"/>
      <c r="AZ110" s="1830"/>
      <c r="BA110" s="1830"/>
      <c r="BB110" s="1830"/>
      <c r="BC110" s="1830"/>
      <c r="BD110" s="1830"/>
      <c r="BE110" s="1830"/>
      <c r="BF110" s="1830"/>
      <c r="BG110" s="1643"/>
    </row>
    <row customHeight="1" ht="11.25">
      <c r="A111" s="1174" t="s">
        <v>1040</v>
      </c>
      <c r="B111" s="1174"/>
      <c r="C111" s="1174"/>
      <c r="D111" s="1168"/>
      <c r="E111" s="1178"/>
      <c r="F111" s="1836"/>
      <c r="G111" s="1837"/>
      <c r="H111" s="2536" t="s">
        <v>1124</v>
      </c>
      <c r="I111" s="2537"/>
      <c r="J111" s="2506"/>
      <c r="K111" s="2538"/>
      <c r="L111" s="2128"/>
      <c r="M111" s="2129"/>
      <c r="N111" s="2529"/>
      <c r="O111" s="2530">
        <v>1</v>
      </c>
      <c r="P111" s="2531" t="s">
        <v>61</v>
      </c>
      <c r="Q111" s="2735" t="s">
        <v>1079</v>
      </c>
      <c r="R111" s="2736" t="s">
        <v>1080</v>
      </c>
      <c r="S111" s="2736" t="s">
        <v>99</v>
      </c>
      <c r="T111" s="2736" t="s">
        <v>99</v>
      </c>
      <c r="U111" s="2736" t="s">
        <v>100</v>
      </c>
      <c r="V111" s="2736" t="s">
        <v>1081</v>
      </c>
      <c r="W111" s="2736" t="s">
        <v>1082</v>
      </c>
      <c r="X111" s="2736" t="s">
        <v>1083</v>
      </c>
      <c r="Y111" s="2736" t="s">
        <v>1084</v>
      </c>
      <c r="Z111" s="1183"/>
      <c r="AA111" s="1184"/>
      <c r="AB111" s="1184"/>
      <c r="AC111" s="1188"/>
      <c r="AD111" s="1188"/>
      <c r="AE111" s="1189"/>
      <c r="AF111" s="2527"/>
      <c r="AG111" s="2528"/>
      <c r="AH111" s="2528"/>
      <c r="AI111" s="2527"/>
      <c r="AJ111" s="2528"/>
      <c r="AK111" s="2528"/>
      <c r="AL111" s="1993"/>
      <c r="AM111" s="1830"/>
      <c r="AN111" s="1830"/>
      <c r="AO111" s="1830"/>
      <c r="AP111" s="1830"/>
      <c r="AQ111" s="1830"/>
      <c r="AR111" s="1830"/>
      <c r="AS111" s="1830"/>
      <c r="AT111" s="1830"/>
      <c r="AU111" s="1830"/>
      <c r="AV111" s="1830"/>
      <c r="AW111" s="1830"/>
      <c r="AX111" s="1830"/>
      <c r="AY111" s="1830"/>
      <c r="AZ111" s="1830"/>
      <c r="BA111" s="1830"/>
      <c r="BB111" s="1830"/>
      <c r="BC111" s="1830"/>
      <c r="BD111" s="1830"/>
      <c r="BE111" s="1830"/>
      <c r="BF111" s="1830"/>
      <c r="BG111" s="1643"/>
    </row>
    <row customHeight="1" ht="11.25">
      <c r="A112" s="1174" t="s">
        <v>1040</v>
      </c>
      <c r="B112" s="1174"/>
      <c r="C112" s="1174"/>
      <c r="D112" s="1168"/>
      <c r="E112" s="1178"/>
      <c r="F112" s="1836"/>
      <c r="G112" s="1837"/>
      <c r="H112" s="2536" t="s">
        <v>1124</v>
      </c>
      <c r="I112" s="2537"/>
      <c r="J112" s="2506"/>
      <c r="K112" s="2538"/>
      <c r="L112" s="2128"/>
      <c r="M112" s="2129"/>
      <c r="N112" s="2529"/>
      <c r="O112" s="2530"/>
      <c r="P112" s="2532"/>
      <c r="Q112" s="2735"/>
      <c r="R112" s="2534"/>
      <c r="S112" s="2535"/>
      <c r="T112" s="2534"/>
      <c r="U112" s="2534"/>
      <c r="V112" s="2534"/>
      <c r="W112" s="2534"/>
      <c r="X112" s="2534"/>
      <c r="Y112" s="2534"/>
      <c r="Z112" s="1835"/>
      <c r="AA112" s="1801">
        <v>1</v>
      </c>
      <c r="AB112" s="1187" t="s">
        <v>1114</v>
      </c>
      <c r="AC112" s="1177">
        <v>2579.02</v>
      </c>
      <c r="AD112" s="1187" t="str">
        <f>AB112</f>
        <v>  За счет платы за технологическое присоединение</v>
      </c>
      <c r="AE112" s="1177">
        <v>2450.0671</v>
      </c>
      <c r="AF112" s="2527"/>
      <c r="AG112" s="2528"/>
      <c r="AH112" s="2528"/>
      <c r="AI112" s="2527"/>
      <c r="AJ112" s="2528"/>
      <c r="AK112" s="2528"/>
      <c r="AL112" s="1993"/>
      <c r="AM112" s="1830"/>
      <c r="AN112" s="1830"/>
      <c r="AO112" s="1830"/>
      <c r="AP112" s="1830"/>
      <c r="AQ112" s="1830"/>
      <c r="AR112" s="1830"/>
      <c r="AS112" s="1830"/>
      <c r="AT112" s="1830"/>
      <c r="AU112" s="1830"/>
      <c r="AV112" s="1830"/>
      <c r="AW112" s="1830"/>
      <c r="AX112" s="1830"/>
      <c r="AY112" s="1830"/>
      <c r="AZ112" s="1830"/>
      <c r="BA112" s="1830"/>
      <c r="BB112" s="1830"/>
      <c r="BC112" s="1830"/>
      <c r="BD112" s="1830"/>
      <c r="BE112" s="1830"/>
      <c r="BF112" s="1830"/>
      <c r="BG112" s="1643"/>
    </row>
    <row customHeight="1" ht="11.25">
      <c r="A113" s="1174" t="s">
        <v>1040</v>
      </c>
      <c r="B113" s="1174"/>
      <c r="C113" s="1174"/>
      <c r="D113" s="1168"/>
      <c r="E113" s="1178"/>
      <c r="F113" s="1837"/>
      <c r="G113" s="1837"/>
      <c r="H113" s="1837"/>
      <c r="I113" s="1837"/>
      <c r="J113" s="1837"/>
      <c r="K113" s="1837"/>
      <c r="L113" s="1837"/>
      <c r="M113" s="1837"/>
      <c r="N113" s="1837"/>
      <c r="O113" s="1837"/>
      <c r="P113" s="1837"/>
      <c r="Q113" s="1837"/>
      <c r="R113" s="1837"/>
      <c r="S113" s="1837"/>
      <c r="T113" s="1837"/>
      <c r="U113" s="1837"/>
      <c r="V113" s="1837"/>
      <c r="W113" s="1837"/>
      <c r="X113" s="1837"/>
      <c r="Y113" s="1837"/>
      <c r="Z113" s="691" t="s">
        <v>103</v>
      </c>
      <c r="AA113" s="1821" t="s">
        <v>102</v>
      </c>
      <c r="AB113" s="1187" t="s">
        <v>1085</v>
      </c>
      <c r="AC113" s="1177">
        <v>515.8</v>
      </c>
      <c r="AD113" s="1187" t="str">
        <f>AB113</f>
        <v>  Прочие собственные средства</v>
      </c>
      <c r="AE113" s="1177">
        <v>490.01342</v>
      </c>
      <c r="AF113" s="2094"/>
      <c r="AG113" s="1766"/>
      <c r="AH113" s="1766"/>
      <c r="AI113" s="2094"/>
      <c r="AJ113" s="1766"/>
      <c r="AK113" s="1992"/>
      <c r="AL113" s="1993"/>
      <c r="AM113" s="1830"/>
      <c r="AN113" s="1830"/>
      <c r="AO113" s="1830"/>
      <c r="AP113" s="1830"/>
      <c r="AQ113" s="1830"/>
      <c r="AR113" s="1830"/>
      <c r="AS113" s="1830"/>
      <c r="AT113" s="1830"/>
      <c r="AU113" s="1830"/>
      <c r="AV113" s="1830"/>
      <c r="AW113" s="1830"/>
      <c r="AX113" s="1830"/>
      <c r="AY113" s="1830"/>
      <c r="AZ113" s="1830"/>
      <c r="BA113" s="1830"/>
      <c r="BB113" s="1830"/>
      <c r="BC113" s="1830"/>
      <c r="BD113" s="1830"/>
      <c r="BE113" s="1830"/>
      <c r="BF113" s="1830"/>
      <c r="BG113" s="1643"/>
    </row>
    <row customHeight="1" ht="11.25">
      <c r="A114" s="1174" t="s">
        <v>1040</v>
      </c>
      <c r="B114" s="1174"/>
      <c r="C114" s="1174"/>
      <c r="D114" s="1168"/>
      <c r="E114" s="1178"/>
      <c r="F114" s="1836"/>
      <c r="G114" s="1837"/>
      <c r="H114" s="2536" t="s">
        <v>1124</v>
      </c>
      <c r="I114" s="2537"/>
      <c r="J114" s="2506"/>
      <c r="K114" s="2538"/>
      <c r="L114" s="2128"/>
      <c r="M114" s="2129"/>
      <c r="N114" s="2529"/>
      <c r="O114" s="2530"/>
      <c r="P114" s="2533"/>
      <c r="Q114" s="2735"/>
      <c r="R114" s="2534"/>
      <c r="S114" s="2535"/>
      <c r="T114" s="2534"/>
      <c r="U114" s="2534"/>
      <c r="V114" s="2534"/>
      <c r="W114" s="2534"/>
      <c r="X114" s="2534"/>
      <c r="Y114" s="2534"/>
      <c r="Z114" s="1183"/>
      <c r="AA114" s="1184"/>
      <c r="AB114" s="1249" t="s">
        <v>1086</v>
      </c>
      <c r="AC114" s="1188"/>
      <c r="AD114" s="1188"/>
      <c r="AE114" s="1190"/>
      <c r="AF114" s="2527"/>
      <c r="AG114" s="2528"/>
      <c r="AH114" s="2528"/>
      <c r="AI114" s="2527"/>
      <c r="AJ114" s="2528"/>
      <c r="AK114" s="2528"/>
      <c r="AL114" s="1993"/>
      <c r="AM114" s="1830"/>
      <c r="AN114" s="1830"/>
      <c r="AO114" s="1830"/>
      <c r="AP114" s="1830"/>
      <c r="AQ114" s="1830"/>
      <c r="AR114" s="1830"/>
      <c r="AS114" s="1830"/>
      <c r="AT114" s="1830"/>
      <c r="AU114" s="1830"/>
      <c r="AV114" s="1830"/>
      <c r="AW114" s="1830"/>
      <c r="AX114" s="1830"/>
      <c r="AY114" s="1830"/>
      <c r="AZ114" s="1830"/>
      <c r="BA114" s="1830"/>
      <c r="BB114" s="1830"/>
      <c r="BC114" s="1830"/>
      <c r="BD114" s="1830"/>
      <c r="BE114" s="1830"/>
      <c r="BF114" s="1830"/>
      <c r="BG114" s="1643"/>
    </row>
    <row customHeight="1" ht="11.25">
      <c r="A115" s="1174" t="s">
        <v>1040</v>
      </c>
      <c r="B115" s="1174"/>
      <c r="C115" s="1174"/>
      <c r="D115" s="1168"/>
      <c r="E115" s="1178"/>
      <c r="F115" s="1836"/>
      <c r="G115" s="1837"/>
      <c r="H115" s="2536" t="s">
        <v>1124</v>
      </c>
      <c r="I115" s="2537"/>
      <c r="J115" s="2506"/>
      <c r="K115" s="2538"/>
      <c r="L115" s="2128"/>
      <c r="M115" s="2129"/>
      <c r="N115" s="1183"/>
      <c r="O115" s="1184"/>
      <c r="P115" s="1176" t="s">
        <v>1087</v>
      </c>
      <c r="Q115" s="1184"/>
      <c r="R115" s="1184"/>
      <c r="S115" s="1184"/>
      <c r="T115" s="1184"/>
      <c r="U115" s="1184"/>
      <c r="V115" s="1184"/>
      <c r="W115" s="1184"/>
      <c r="X115" s="1184"/>
      <c r="Y115" s="1184"/>
      <c r="Z115" s="1184"/>
      <c r="AA115" s="1184"/>
      <c r="AB115" s="1184"/>
      <c r="AC115" s="1184"/>
      <c r="AD115" s="1184"/>
      <c r="AE115" s="1191"/>
      <c r="AF115" s="2527"/>
      <c r="AG115" s="2528"/>
      <c r="AH115" s="2528"/>
      <c r="AI115" s="2527"/>
      <c r="AJ115" s="2528"/>
      <c r="AK115" s="2528"/>
      <c r="AL115" s="1993"/>
      <c r="AM115" s="1830"/>
      <c r="AN115" s="1830"/>
      <c r="AO115" s="1830"/>
      <c r="AP115" s="1830"/>
      <c r="AQ115" s="1830"/>
      <c r="AR115" s="1830"/>
      <c r="AS115" s="1830"/>
      <c r="AT115" s="1830"/>
      <c r="AU115" s="1830"/>
      <c r="AV115" s="1830"/>
      <c r="AW115" s="1830"/>
      <c r="AX115" s="1830"/>
      <c r="AY115" s="1830"/>
      <c r="AZ115" s="1830"/>
      <c r="BA115" s="1830"/>
      <c r="BB115" s="1830"/>
      <c r="BC115" s="1830"/>
      <c r="BD115" s="1830"/>
      <c r="BE115" s="1830"/>
      <c r="BF115" s="1830"/>
      <c r="BG115" s="1643"/>
    </row>
    <row customHeight="1" ht="11.25">
      <c r="A116" s="1174" t="s">
        <v>1040</v>
      </c>
      <c r="B116" s="1174" t="s">
        <v>1119</v>
      </c>
      <c r="C116" s="1174"/>
      <c r="D116" s="1168"/>
      <c r="E116" s="1178"/>
      <c r="F116" s="1836"/>
      <c r="G116" s="691" t="s">
        <v>103</v>
      </c>
      <c r="H116" s="2536" t="s">
        <v>1130</v>
      </c>
      <c r="I116" s="2537" t="s">
        <v>1121</v>
      </c>
      <c r="J116" s="2506" t="s">
        <v>1125</v>
      </c>
      <c r="K116" s="2538" t="s">
        <v>1131</v>
      </c>
      <c r="L116" s="2128" t="s">
        <v>19</v>
      </c>
      <c r="M116" s="2129"/>
      <c r="N116" s="1991"/>
      <c r="O116" s="1185" t="s">
        <v>393</v>
      </c>
      <c r="P116" s="1186"/>
      <c r="Q116" s="1186"/>
      <c r="R116" s="1186"/>
      <c r="S116" s="1186"/>
      <c r="T116" s="1186"/>
      <c r="U116" s="1186"/>
      <c r="V116" s="1186"/>
      <c r="W116" s="1186"/>
      <c r="X116" s="1186"/>
      <c r="Y116" s="1186"/>
      <c r="Z116" s="1186"/>
      <c r="AA116" s="1186"/>
      <c r="AB116" s="1186"/>
      <c r="AC116" s="1186"/>
      <c r="AD116" s="1186"/>
      <c r="AE116" s="1186"/>
      <c r="AF116" s="2527">
        <v>1</v>
      </c>
      <c r="AG116" s="2528" t="s">
        <v>1076</v>
      </c>
      <c r="AH116" s="2528" t="s">
        <v>1091</v>
      </c>
      <c r="AI116" s="2734"/>
      <c r="AJ116" s="2528" t="s">
        <v>1132</v>
      </c>
      <c r="AK116" s="2528" t="s">
        <v>1132</v>
      </c>
      <c r="AL116" s="1993"/>
      <c r="AM116" s="1830"/>
      <c r="AN116" s="1830"/>
      <c r="AO116" s="1830"/>
      <c r="AP116" s="1830"/>
      <c r="AQ116" s="1830"/>
      <c r="AR116" s="1830"/>
      <c r="AS116" s="1830"/>
      <c r="AT116" s="1830"/>
      <c r="AU116" s="1830"/>
      <c r="AV116" s="1830"/>
      <c r="AW116" s="1830"/>
      <c r="AX116" s="1830"/>
      <c r="AY116" s="1830"/>
      <c r="AZ116" s="1830"/>
      <c r="BA116" s="1830"/>
      <c r="BB116" s="1830"/>
      <c r="BC116" s="1830"/>
      <c r="BD116" s="1830"/>
      <c r="BE116" s="1830"/>
      <c r="BF116" s="1830"/>
      <c r="BG116" s="1643"/>
    </row>
    <row customHeight="1" ht="11.25">
      <c r="A117" s="1174" t="s">
        <v>1040</v>
      </c>
      <c r="B117" s="1174"/>
      <c r="C117" s="1174"/>
      <c r="D117" s="1168"/>
      <c r="E117" s="1178"/>
      <c r="F117" s="1836"/>
      <c r="G117" s="1837"/>
      <c r="H117" s="2536" t="s">
        <v>1128</v>
      </c>
      <c r="I117" s="2537"/>
      <c r="J117" s="2506"/>
      <c r="K117" s="2538"/>
      <c r="L117" s="2128"/>
      <c r="M117" s="2129"/>
      <c r="N117" s="2529"/>
      <c r="O117" s="2530">
        <v>1</v>
      </c>
      <c r="P117" s="2531" t="s">
        <v>61</v>
      </c>
      <c r="Q117" s="2735" t="s">
        <v>1079</v>
      </c>
      <c r="R117" s="2736" t="s">
        <v>1080</v>
      </c>
      <c r="S117" s="2736" t="s">
        <v>99</v>
      </c>
      <c r="T117" s="2736" t="s">
        <v>99</v>
      </c>
      <c r="U117" s="2736" t="s">
        <v>100</v>
      </c>
      <c r="V117" s="2736" t="s">
        <v>1081</v>
      </c>
      <c r="W117" s="2736" t="s">
        <v>1082</v>
      </c>
      <c r="X117" s="2736" t="s">
        <v>1083</v>
      </c>
      <c r="Y117" s="2736" t="s">
        <v>1084</v>
      </c>
      <c r="Z117" s="1183"/>
      <c r="AA117" s="1184"/>
      <c r="AB117" s="1184"/>
      <c r="AC117" s="1188"/>
      <c r="AD117" s="1188"/>
      <c r="AE117" s="1189"/>
      <c r="AF117" s="2527"/>
      <c r="AG117" s="2528"/>
      <c r="AH117" s="2528"/>
      <c r="AI117" s="2734"/>
      <c r="AJ117" s="2528"/>
      <c r="AK117" s="2528"/>
      <c r="AL117" s="1993"/>
      <c r="AM117" s="1830"/>
      <c r="AN117" s="1830"/>
      <c r="AO117" s="1830"/>
      <c r="AP117" s="1830"/>
      <c r="AQ117" s="1830"/>
      <c r="AR117" s="1830"/>
      <c r="AS117" s="1830"/>
      <c r="AT117" s="1830"/>
      <c r="AU117" s="1830"/>
      <c r="AV117" s="1830"/>
      <c r="AW117" s="1830"/>
      <c r="AX117" s="1830"/>
      <c r="AY117" s="1830"/>
      <c r="AZ117" s="1830"/>
      <c r="BA117" s="1830"/>
      <c r="BB117" s="1830"/>
      <c r="BC117" s="1830"/>
      <c r="BD117" s="1830"/>
      <c r="BE117" s="1830"/>
      <c r="BF117" s="1830"/>
      <c r="BG117" s="1643"/>
    </row>
    <row customHeight="1" ht="11.25">
      <c r="A118" s="1174" t="s">
        <v>1040</v>
      </c>
      <c r="B118" s="1174"/>
      <c r="C118" s="1174"/>
      <c r="D118" s="1168"/>
      <c r="E118" s="1178"/>
      <c r="F118" s="1836"/>
      <c r="G118" s="1837"/>
      <c r="H118" s="2536" t="s">
        <v>1128</v>
      </c>
      <c r="I118" s="2537"/>
      <c r="J118" s="2506"/>
      <c r="K118" s="2538"/>
      <c r="L118" s="2128"/>
      <c r="M118" s="2129"/>
      <c r="N118" s="2529"/>
      <c r="O118" s="2530"/>
      <c r="P118" s="2532"/>
      <c r="Q118" s="2735"/>
      <c r="R118" s="2534"/>
      <c r="S118" s="2535"/>
      <c r="T118" s="2534"/>
      <c r="U118" s="2534"/>
      <c r="V118" s="2534"/>
      <c r="W118" s="2534"/>
      <c r="X118" s="2534"/>
      <c r="Y118" s="2534"/>
      <c r="Z118" s="1835"/>
      <c r="AA118" s="1801">
        <v>1</v>
      </c>
      <c r="AB118" s="1187" t="s">
        <v>1114</v>
      </c>
      <c r="AC118" s="1177">
        <v>12354.25</v>
      </c>
      <c r="AD118" s="1187" t="str">
        <f>AB118</f>
        <v>  За счет платы за технологическое присоединение</v>
      </c>
      <c r="AE118" s="1177">
        <v>0</v>
      </c>
      <c r="AF118" s="2527"/>
      <c r="AG118" s="2528"/>
      <c r="AH118" s="2528"/>
      <c r="AI118" s="2734"/>
      <c r="AJ118" s="2528"/>
      <c r="AK118" s="2528"/>
      <c r="AL118" s="1993"/>
      <c r="AM118" s="1830"/>
      <c r="AN118" s="1830"/>
      <c r="AO118" s="1830"/>
      <c r="AP118" s="1830"/>
      <c r="AQ118" s="1830"/>
      <c r="AR118" s="1830"/>
      <c r="AS118" s="1830"/>
      <c r="AT118" s="1830"/>
      <c r="AU118" s="1830"/>
      <c r="AV118" s="1830"/>
      <c r="AW118" s="1830"/>
      <c r="AX118" s="1830"/>
      <c r="AY118" s="1830"/>
      <c r="AZ118" s="1830"/>
      <c r="BA118" s="1830"/>
      <c r="BB118" s="1830"/>
      <c r="BC118" s="1830"/>
      <c r="BD118" s="1830"/>
      <c r="BE118" s="1830"/>
      <c r="BF118" s="1830"/>
      <c r="BG118" s="1643"/>
    </row>
    <row customHeight="1" ht="11.25">
      <c r="A119" s="1174" t="s">
        <v>1040</v>
      </c>
      <c r="B119" s="1174"/>
      <c r="C119" s="1174"/>
      <c r="D119" s="1168"/>
      <c r="E119" s="1178"/>
      <c r="F119" s="1837"/>
      <c r="G119" s="1837"/>
      <c r="H119" s="1837"/>
      <c r="I119" s="1837"/>
      <c r="J119" s="1837"/>
      <c r="K119" s="1837"/>
      <c r="L119" s="1837"/>
      <c r="M119" s="1837"/>
      <c r="N119" s="1837"/>
      <c r="O119" s="1837"/>
      <c r="P119" s="1837"/>
      <c r="Q119" s="1837"/>
      <c r="R119" s="1837"/>
      <c r="S119" s="1837"/>
      <c r="T119" s="1837"/>
      <c r="U119" s="1837"/>
      <c r="V119" s="1837"/>
      <c r="W119" s="1837"/>
      <c r="X119" s="1837"/>
      <c r="Y119" s="1837"/>
      <c r="Z119" s="691" t="s">
        <v>103</v>
      </c>
      <c r="AA119" s="1821" t="s">
        <v>102</v>
      </c>
      <c r="AB119" s="1187" t="s">
        <v>1085</v>
      </c>
      <c r="AC119" s="1177">
        <v>2470.85</v>
      </c>
      <c r="AD119" s="1187" t="str">
        <f>AB119</f>
        <v>  Прочие собственные средства</v>
      </c>
      <c r="AE119" s="1177">
        <v>0</v>
      </c>
      <c r="AF119" s="2094"/>
      <c r="AG119" s="1766"/>
      <c r="AH119" s="1766"/>
      <c r="AI119" s="2740"/>
      <c r="AJ119" s="1766"/>
      <c r="AK119" s="1992"/>
      <c r="AL119" s="1993"/>
      <c r="AM119" s="1830"/>
      <c r="AN119" s="1830"/>
      <c r="AO119" s="1830"/>
      <c r="AP119" s="1830"/>
      <c r="AQ119" s="1830"/>
      <c r="AR119" s="1830"/>
      <c r="AS119" s="1830"/>
      <c r="AT119" s="1830"/>
      <c r="AU119" s="1830"/>
      <c r="AV119" s="1830"/>
      <c r="AW119" s="1830"/>
      <c r="AX119" s="1830"/>
      <c r="AY119" s="1830"/>
      <c r="AZ119" s="1830"/>
      <c r="BA119" s="1830"/>
      <c r="BB119" s="1830"/>
      <c r="BC119" s="1830"/>
      <c r="BD119" s="1830"/>
      <c r="BE119" s="1830"/>
      <c r="BF119" s="1830"/>
      <c r="BG119" s="1643"/>
    </row>
    <row customHeight="1" ht="11.25">
      <c r="A120" s="1174" t="s">
        <v>1040</v>
      </c>
      <c r="B120" s="1174"/>
      <c r="C120" s="1174"/>
      <c r="D120" s="1168"/>
      <c r="E120" s="1178"/>
      <c r="F120" s="1836"/>
      <c r="G120" s="1837"/>
      <c r="H120" s="2536" t="s">
        <v>1128</v>
      </c>
      <c r="I120" s="2537"/>
      <c r="J120" s="2506"/>
      <c r="K120" s="2538"/>
      <c r="L120" s="2128"/>
      <c r="M120" s="2129"/>
      <c r="N120" s="2529"/>
      <c r="O120" s="2530"/>
      <c r="P120" s="2533"/>
      <c r="Q120" s="2735"/>
      <c r="R120" s="2534"/>
      <c r="S120" s="2535"/>
      <c r="T120" s="2534"/>
      <c r="U120" s="2534"/>
      <c r="V120" s="2534"/>
      <c r="W120" s="2534"/>
      <c r="X120" s="2534"/>
      <c r="Y120" s="2534"/>
      <c r="Z120" s="1183"/>
      <c r="AA120" s="1184"/>
      <c r="AB120" s="1249" t="s">
        <v>1086</v>
      </c>
      <c r="AC120" s="1188"/>
      <c r="AD120" s="1188"/>
      <c r="AE120" s="1190"/>
      <c r="AF120" s="2527"/>
      <c r="AG120" s="2528"/>
      <c r="AH120" s="2528"/>
      <c r="AI120" s="2734"/>
      <c r="AJ120" s="2528"/>
      <c r="AK120" s="2528"/>
      <c r="AL120" s="1993"/>
      <c r="AM120" s="1830"/>
      <c r="AN120" s="1830"/>
      <c r="AO120" s="1830"/>
      <c r="AP120" s="1830"/>
      <c r="AQ120" s="1830"/>
      <c r="AR120" s="1830"/>
      <c r="AS120" s="1830"/>
      <c r="AT120" s="1830"/>
      <c r="AU120" s="1830"/>
      <c r="AV120" s="1830"/>
      <c r="AW120" s="1830"/>
      <c r="AX120" s="1830"/>
      <c r="AY120" s="1830"/>
      <c r="AZ120" s="1830"/>
      <c r="BA120" s="1830"/>
      <c r="BB120" s="1830"/>
      <c r="BC120" s="1830"/>
      <c r="BD120" s="1830"/>
      <c r="BE120" s="1830"/>
      <c r="BF120" s="1830"/>
      <c r="BG120" s="1643"/>
    </row>
    <row customHeight="1" ht="11.25">
      <c r="A121" s="1174" t="s">
        <v>1040</v>
      </c>
      <c r="B121" s="1174"/>
      <c r="C121" s="1174"/>
      <c r="D121" s="1168"/>
      <c r="E121" s="1178"/>
      <c r="F121" s="1836"/>
      <c r="G121" s="1837"/>
      <c r="H121" s="2536" t="s">
        <v>1128</v>
      </c>
      <c r="I121" s="2537"/>
      <c r="J121" s="2506"/>
      <c r="K121" s="2538"/>
      <c r="L121" s="2128"/>
      <c r="M121" s="2129"/>
      <c r="N121" s="1183"/>
      <c r="O121" s="1184"/>
      <c r="P121" s="1176" t="s">
        <v>1087</v>
      </c>
      <c r="Q121" s="1184"/>
      <c r="R121" s="1184"/>
      <c r="S121" s="1184"/>
      <c r="T121" s="1184"/>
      <c r="U121" s="1184"/>
      <c r="V121" s="1184"/>
      <c r="W121" s="1184"/>
      <c r="X121" s="1184"/>
      <c r="Y121" s="1184"/>
      <c r="Z121" s="1184"/>
      <c r="AA121" s="1184"/>
      <c r="AB121" s="1184"/>
      <c r="AC121" s="1184"/>
      <c r="AD121" s="1184"/>
      <c r="AE121" s="1191"/>
      <c r="AF121" s="2527"/>
      <c r="AG121" s="2528"/>
      <c r="AH121" s="2528"/>
      <c r="AI121" s="2734"/>
      <c r="AJ121" s="2528"/>
      <c r="AK121" s="2528"/>
      <c r="AL121" s="1993"/>
      <c r="AM121" s="1830"/>
      <c r="AN121" s="1830"/>
      <c r="AO121" s="1830"/>
      <c r="AP121" s="1830"/>
      <c r="AQ121" s="1830"/>
      <c r="AR121" s="1830"/>
      <c r="AS121" s="1830"/>
      <c r="AT121" s="1830"/>
      <c r="AU121" s="1830"/>
      <c r="AV121" s="1830"/>
      <c r="AW121" s="1830"/>
      <c r="AX121" s="1830"/>
      <c r="AY121" s="1830"/>
      <c r="AZ121" s="1830"/>
      <c r="BA121" s="1830"/>
      <c r="BB121" s="1830"/>
      <c r="BC121" s="1830"/>
      <c r="BD121" s="1830"/>
      <c r="BE121" s="1830"/>
      <c r="BF121" s="1830"/>
      <c r="BG121" s="1643"/>
    </row>
    <row customHeight="1" ht="11.25">
      <c r="A122" s="1174" t="s">
        <v>1040</v>
      </c>
      <c r="B122" s="1174" t="s">
        <v>1119</v>
      </c>
      <c r="C122" s="1174"/>
      <c r="D122" s="1168"/>
      <c r="E122" s="1178"/>
      <c r="F122" s="1836"/>
      <c r="G122" s="691" t="s">
        <v>103</v>
      </c>
      <c r="H122" s="2536" t="s">
        <v>1133</v>
      </c>
      <c r="I122" s="2537" t="s">
        <v>1121</v>
      </c>
      <c r="J122" s="2506" t="s">
        <v>1125</v>
      </c>
      <c r="K122" s="2538" t="s">
        <v>1134</v>
      </c>
      <c r="L122" s="2128" t="s">
        <v>19</v>
      </c>
      <c r="M122" s="2129"/>
      <c r="N122" s="1991"/>
      <c r="O122" s="1185" t="s">
        <v>393</v>
      </c>
      <c r="P122" s="1186"/>
      <c r="Q122" s="1186"/>
      <c r="R122" s="1186"/>
      <c r="S122" s="1186"/>
      <c r="T122" s="1186"/>
      <c r="U122" s="1186"/>
      <c r="V122" s="1186"/>
      <c r="W122" s="1186"/>
      <c r="X122" s="1186"/>
      <c r="Y122" s="1186"/>
      <c r="Z122" s="1186"/>
      <c r="AA122" s="1186"/>
      <c r="AB122" s="1186"/>
      <c r="AC122" s="1186"/>
      <c r="AD122" s="1186"/>
      <c r="AE122" s="1186"/>
      <c r="AF122" s="2527">
        <v>1</v>
      </c>
      <c r="AG122" s="2528" t="s">
        <v>1076</v>
      </c>
      <c r="AH122" s="2528" t="s">
        <v>1091</v>
      </c>
      <c r="AI122" s="2527">
        <v>1</v>
      </c>
      <c r="AJ122" s="2528" t="s">
        <v>1100</v>
      </c>
      <c r="AK122" s="2528" t="s">
        <v>1093</v>
      </c>
      <c r="AL122" s="1993"/>
      <c r="AM122" s="1830"/>
      <c r="AN122" s="1830"/>
      <c r="AO122" s="1830"/>
      <c r="AP122" s="1830"/>
      <c r="AQ122" s="1830"/>
      <c r="AR122" s="1830"/>
      <c r="AS122" s="1830"/>
      <c r="AT122" s="1830"/>
      <c r="AU122" s="1830"/>
      <c r="AV122" s="1830"/>
      <c r="AW122" s="1830"/>
      <c r="AX122" s="1830"/>
      <c r="AY122" s="1830"/>
      <c r="AZ122" s="1830"/>
      <c r="BA122" s="1830"/>
      <c r="BB122" s="1830"/>
      <c r="BC122" s="1830"/>
      <c r="BD122" s="1830"/>
      <c r="BE122" s="1830"/>
      <c r="BF122" s="1830"/>
      <c r="BG122" s="1643"/>
    </row>
    <row customHeight="1" ht="11.25">
      <c r="A123" s="1174" t="s">
        <v>1040</v>
      </c>
      <c r="B123" s="1174"/>
      <c r="C123" s="1174"/>
      <c r="D123" s="1168"/>
      <c r="E123" s="1178"/>
      <c r="F123" s="1836"/>
      <c r="G123" s="1837"/>
      <c r="H123" s="2536" t="s">
        <v>1130</v>
      </c>
      <c r="I123" s="2537"/>
      <c r="J123" s="2506"/>
      <c r="K123" s="2538"/>
      <c r="L123" s="2128"/>
      <c r="M123" s="2129"/>
      <c r="N123" s="2529"/>
      <c r="O123" s="2530">
        <v>1</v>
      </c>
      <c r="P123" s="2531" t="s">
        <v>61</v>
      </c>
      <c r="Q123" s="2735" t="s">
        <v>1079</v>
      </c>
      <c r="R123" s="2736" t="s">
        <v>1080</v>
      </c>
      <c r="S123" s="2736" t="s">
        <v>99</v>
      </c>
      <c r="T123" s="2736" t="s">
        <v>99</v>
      </c>
      <c r="U123" s="2736" t="s">
        <v>100</v>
      </c>
      <c r="V123" s="2736" t="s">
        <v>1081</v>
      </c>
      <c r="W123" s="2736" t="s">
        <v>1082</v>
      </c>
      <c r="X123" s="2736" t="s">
        <v>1083</v>
      </c>
      <c r="Y123" s="2736" t="s">
        <v>1084</v>
      </c>
      <c r="Z123" s="1183"/>
      <c r="AA123" s="1184"/>
      <c r="AB123" s="1184"/>
      <c r="AC123" s="1188"/>
      <c r="AD123" s="1188"/>
      <c r="AE123" s="1189"/>
      <c r="AF123" s="2527"/>
      <c r="AG123" s="2528"/>
      <c r="AH123" s="2528"/>
      <c r="AI123" s="2527"/>
      <c r="AJ123" s="2528"/>
      <c r="AK123" s="2528"/>
      <c r="AL123" s="1993"/>
      <c r="AM123" s="1830"/>
      <c r="AN123" s="1830"/>
      <c r="AO123" s="1830"/>
      <c r="AP123" s="1830"/>
      <c r="AQ123" s="1830"/>
      <c r="AR123" s="1830"/>
      <c r="AS123" s="1830"/>
      <c r="AT123" s="1830"/>
      <c r="AU123" s="1830"/>
      <c r="AV123" s="1830"/>
      <c r="AW123" s="1830"/>
      <c r="AX123" s="1830"/>
      <c r="AY123" s="1830"/>
      <c r="AZ123" s="1830"/>
      <c r="BA123" s="1830"/>
      <c r="BB123" s="1830"/>
      <c r="BC123" s="1830"/>
      <c r="BD123" s="1830"/>
      <c r="BE123" s="1830"/>
      <c r="BF123" s="1830"/>
      <c r="BG123" s="1643"/>
    </row>
    <row customHeight="1" ht="11.25">
      <c r="A124" s="1174" t="s">
        <v>1040</v>
      </c>
      <c r="B124" s="1174"/>
      <c r="C124" s="1174"/>
      <c r="D124" s="1168"/>
      <c r="E124" s="1178"/>
      <c r="F124" s="1836"/>
      <c r="G124" s="1837"/>
      <c r="H124" s="2536" t="s">
        <v>1130</v>
      </c>
      <c r="I124" s="2537"/>
      <c r="J124" s="2506"/>
      <c r="K124" s="2538"/>
      <c r="L124" s="2128"/>
      <c r="M124" s="2129"/>
      <c r="N124" s="2529"/>
      <c r="O124" s="2530"/>
      <c r="P124" s="2532"/>
      <c r="Q124" s="2735"/>
      <c r="R124" s="2534"/>
      <c r="S124" s="2535"/>
      <c r="T124" s="2534"/>
      <c r="U124" s="2534"/>
      <c r="V124" s="2534"/>
      <c r="W124" s="2534"/>
      <c r="X124" s="2534"/>
      <c r="Y124" s="2534"/>
      <c r="Z124" s="1835"/>
      <c r="AA124" s="1801">
        <v>1</v>
      </c>
      <c r="AB124" s="1187" t="s">
        <v>1114</v>
      </c>
      <c r="AC124" s="1177">
        <v>178.31</v>
      </c>
      <c r="AD124" s="1187" t="str">
        <f>AB124</f>
        <v>  За счет платы за технологическое присоединение</v>
      </c>
      <c r="AE124" s="1177">
        <v>178.3111</v>
      </c>
      <c r="AF124" s="2527"/>
      <c r="AG124" s="2528"/>
      <c r="AH124" s="2528"/>
      <c r="AI124" s="2527"/>
      <c r="AJ124" s="2528"/>
      <c r="AK124" s="2528"/>
      <c r="AL124" s="1993"/>
      <c r="AM124" s="1830"/>
      <c r="AN124" s="1830"/>
      <c r="AO124" s="1830"/>
      <c r="AP124" s="1830"/>
      <c r="AQ124" s="1830"/>
      <c r="AR124" s="1830"/>
      <c r="AS124" s="1830"/>
      <c r="AT124" s="1830"/>
      <c r="AU124" s="1830"/>
      <c r="AV124" s="1830"/>
      <c r="AW124" s="1830"/>
      <c r="AX124" s="1830"/>
      <c r="AY124" s="1830"/>
      <c r="AZ124" s="1830"/>
      <c r="BA124" s="1830"/>
      <c r="BB124" s="1830"/>
      <c r="BC124" s="1830"/>
      <c r="BD124" s="1830"/>
      <c r="BE124" s="1830"/>
      <c r="BF124" s="1830"/>
      <c r="BG124" s="1643"/>
    </row>
    <row customHeight="1" ht="11.25">
      <c r="A125" s="1174" t="s">
        <v>1040</v>
      </c>
      <c r="B125" s="1174"/>
      <c r="C125" s="1174"/>
      <c r="D125" s="1168"/>
      <c r="E125" s="1178"/>
      <c r="F125" s="1837"/>
      <c r="G125" s="1837"/>
      <c r="H125" s="1837"/>
      <c r="I125" s="1837"/>
      <c r="J125" s="1837"/>
      <c r="K125" s="1837"/>
      <c r="L125" s="1837"/>
      <c r="M125" s="1837"/>
      <c r="N125" s="1837"/>
      <c r="O125" s="1837"/>
      <c r="P125" s="1837"/>
      <c r="Q125" s="1837"/>
      <c r="R125" s="1837"/>
      <c r="S125" s="1837"/>
      <c r="T125" s="1837"/>
      <c r="U125" s="1837"/>
      <c r="V125" s="1837"/>
      <c r="W125" s="1837"/>
      <c r="X125" s="1837"/>
      <c r="Y125" s="1837"/>
      <c r="Z125" s="691" t="s">
        <v>103</v>
      </c>
      <c r="AA125" s="1821" t="s">
        <v>102</v>
      </c>
      <c r="AB125" s="1187" t="s">
        <v>1085</v>
      </c>
      <c r="AC125" s="1177">
        <v>35.66</v>
      </c>
      <c r="AD125" s="1187" t="str">
        <f>AB125</f>
        <v>  Прочие собственные средства</v>
      </c>
      <c r="AE125" s="1177">
        <v>35.66222</v>
      </c>
      <c r="AF125" s="2094"/>
      <c r="AG125" s="1766"/>
      <c r="AH125" s="1766"/>
      <c r="AI125" s="2094"/>
      <c r="AJ125" s="1766"/>
      <c r="AK125" s="1992"/>
      <c r="AL125" s="1993"/>
      <c r="AM125" s="1830"/>
      <c r="AN125" s="1830"/>
      <c r="AO125" s="1830"/>
      <c r="AP125" s="1830"/>
      <c r="AQ125" s="1830"/>
      <c r="AR125" s="1830"/>
      <c r="AS125" s="1830"/>
      <c r="AT125" s="1830"/>
      <c r="AU125" s="1830"/>
      <c r="AV125" s="1830"/>
      <c r="AW125" s="1830"/>
      <c r="AX125" s="1830"/>
      <c r="AY125" s="1830"/>
      <c r="AZ125" s="1830"/>
      <c r="BA125" s="1830"/>
      <c r="BB125" s="1830"/>
      <c r="BC125" s="1830"/>
      <c r="BD125" s="1830"/>
      <c r="BE125" s="1830"/>
      <c r="BF125" s="1830"/>
      <c r="BG125" s="1643"/>
    </row>
    <row customHeight="1" ht="11.25">
      <c r="A126" s="1174" t="s">
        <v>1040</v>
      </c>
      <c r="B126" s="1174"/>
      <c r="C126" s="1174"/>
      <c r="D126" s="1168"/>
      <c r="E126" s="1178"/>
      <c r="F126" s="1836"/>
      <c r="G126" s="1837"/>
      <c r="H126" s="2536" t="s">
        <v>1130</v>
      </c>
      <c r="I126" s="2537"/>
      <c r="J126" s="2506"/>
      <c r="K126" s="2538"/>
      <c r="L126" s="2128"/>
      <c r="M126" s="2129"/>
      <c r="N126" s="2529"/>
      <c r="O126" s="2530"/>
      <c r="P126" s="2533"/>
      <c r="Q126" s="2735"/>
      <c r="R126" s="2534"/>
      <c r="S126" s="2535"/>
      <c r="T126" s="2534"/>
      <c r="U126" s="2534"/>
      <c r="V126" s="2534"/>
      <c r="W126" s="2534"/>
      <c r="X126" s="2534"/>
      <c r="Y126" s="2534"/>
      <c r="Z126" s="1183"/>
      <c r="AA126" s="1184"/>
      <c r="AB126" s="1249" t="s">
        <v>1086</v>
      </c>
      <c r="AC126" s="1188"/>
      <c r="AD126" s="1188"/>
      <c r="AE126" s="1190"/>
      <c r="AF126" s="2527"/>
      <c r="AG126" s="2528"/>
      <c r="AH126" s="2528"/>
      <c r="AI126" s="2527"/>
      <c r="AJ126" s="2528"/>
      <c r="AK126" s="2528"/>
      <c r="AL126" s="1993"/>
      <c r="AM126" s="1830"/>
      <c r="AN126" s="1830"/>
      <c r="AO126" s="1830"/>
      <c r="AP126" s="1830"/>
      <c r="AQ126" s="1830"/>
      <c r="AR126" s="1830"/>
      <c r="AS126" s="1830"/>
      <c r="AT126" s="1830"/>
      <c r="AU126" s="1830"/>
      <c r="AV126" s="1830"/>
      <c r="AW126" s="1830"/>
      <c r="AX126" s="1830"/>
      <c r="AY126" s="1830"/>
      <c r="AZ126" s="1830"/>
      <c r="BA126" s="1830"/>
      <c r="BB126" s="1830"/>
      <c r="BC126" s="1830"/>
      <c r="BD126" s="1830"/>
      <c r="BE126" s="1830"/>
      <c r="BF126" s="1830"/>
      <c r="BG126" s="1643"/>
    </row>
    <row customHeight="1" ht="11.25">
      <c r="A127" s="1174" t="s">
        <v>1040</v>
      </c>
      <c r="B127" s="1174"/>
      <c r="C127" s="1174"/>
      <c r="D127" s="1168"/>
      <c r="E127" s="1178"/>
      <c r="F127" s="1836"/>
      <c r="G127" s="1837"/>
      <c r="H127" s="2536" t="s">
        <v>1130</v>
      </c>
      <c r="I127" s="2537"/>
      <c r="J127" s="2506"/>
      <c r="K127" s="2538"/>
      <c r="L127" s="2128"/>
      <c r="M127" s="2129"/>
      <c r="N127" s="1183"/>
      <c r="O127" s="1184"/>
      <c r="P127" s="1176" t="s">
        <v>1087</v>
      </c>
      <c r="Q127" s="1184"/>
      <c r="R127" s="1184"/>
      <c r="S127" s="1184"/>
      <c r="T127" s="1184"/>
      <c r="U127" s="1184"/>
      <c r="V127" s="1184"/>
      <c r="W127" s="1184"/>
      <c r="X127" s="1184"/>
      <c r="Y127" s="1184"/>
      <c r="Z127" s="1184"/>
      <c r="AA127" s="1184"/>
      <c r="AB127" s="1184"/>
      <c r="AC127" s="1184"/>
      <c r="AD127" s="1184"/>
      <c r="AE127" s="1191"/>
      <c r="AF127" s="2527"/>
      <c r="AG127" s="2528"/>
      <c r="AH127" s="2528"/>
      <c r="AI127" s="2527"/>
      <c r="AJ127" s="2528"/>
      <c r="AK127" s="2528"/>
      <c r="AL127" s="1993"/>
      <c r="AM127" s="1830"/>
      <c r="AN127" s="1830"/>
      <c r="AO127" s="1830"/>
      <c r="AP127" s="1830"/>
      <c r="AQ127" s="1830"/>
      <c r="AR127" s="1830"/>
      <c r="AS127" s="1830"/>
      <c r="AT127" s="1830"/>
      <c r="AU127" s="1830"/>
      <c r="AV127" s="1830"/>
      <c r="AW127" s="1830"/>
      <c r="AX127" s="1830"/>
      <c r="AY127" s="1830"/>
      <c r="AZ127" s="1830"/>
      <c r="BA127" s="1830"/>
      <c r="BB127" s="1830"/>
      <c r="BC127" s="1830"/>
      <c r="BD127" s="1830"/>
      <c r="BE127" s="1830"/>
      <c r="BF127" s="1830"/>
      <c r="BG127" s="1643"/>
    </row>
    <row customHeight="1" ht="11.25">
      <c r="A128" s="1174" t="s">
        <v>1040</v>
      </c>
      <c r="B128" s="1174" t="s">
        <v>1119</v>
      </c>
      <c r="C128" s="1174"/>
      <c r="D128" s="1168"/>
      <c r="E128" s="1178"/>
      <c r="F128" s="1836"/>
      <c r="G128" s="691" t="s">
        <v>103</v>
      </c>
      <c r="H128" s="2536" t="s">
        <v>1135</v>
      </c>
      <c r="I128" s="2537" t="s">
        <v>1121</v>
      </c>
      <c r="J128" s="2506" t="s">
        <v>1125</v>
      </c>
      <c r="K128" s="2538" t="s">
        <v>1136</v>
      </c>
      <c r="L128" s="2128" t="s">
        <v>19</v>
      </c>
      <c r="M128" s="2129"/>
      <c r="N128" s="1991"/>
      <c r="O128" s="1185" t="s">
        <v>393</v>
      </c>
      <c r="P128" s="1186"/>
      <c r="Q128" s="1186"/>
      <c r="R128" s="1186"/>
      <c r="S128" s="1186"/>
      <c r="T128" s="1186"/>
      <c r="U128" s="1186"/>
      <c r="V128" s="1186"/>
      <c r="W128" s="1186"/>
      <c r="X128" s="1186"/>
      <c r="Y128" s="1186"/>
      <c r="Z128" s="1186"/>
      <c r="AA128" s="1186"/>
      <c r="AB128" s="1186"/>
      <c r="AC128" s="1186"/>
      <c r="AD128" s="1186"/>
      <c r="AE128" s="1186"/>
      <c r="AF128" s="2527">
        <v>1</v>
      </c>
      <c r="AG128" s="2528" t="s">
        <v>1076</v>
      </c>
      <c r="AH128" s="2528" t="s">
        <v>1091</v>
      </c>
      <c r="AI128" s="2734"/>
      <c r="AJ128" s="2528" t="s">
        <v>1132</v>
      </c>
      <c r="AK128" s="2528" t="s">
        <v>1132</v>
      </c>
      <c r="AL128" s="1993"/>
      <c r="AM128" s="1830"/>
      <c r="AN128" s="1830"/>
      <c r="AO128" s="1830"/>
      <c r="AP128" s="1830"/>
      <c r="AQ128" s="1830"/>
      <c r="AR128" s="1830"/>
      <c r="AS128" s="1830"/>
      <c r="AT128" s="1830"/>
      <c r="AU128" s="1830"/>
      <c r="AV128" s="1830"/>
      <c r="AW128" s="1830"/>
      <c r="AX128" s="1830"/>
      <c r="AY128" s="1830"/>
      <c r="AZ128" s="1830"/>
      <c r="BA128" s="1830"/>
      <c r="BB128" s="1830"/>
      <c r="BC128" s="1830"/>
      <c r="BD128" s="1830"/>
      <c r="BE128" s="1830"/>
      <c r="BF128" s="1830"/>
      <c r="BG128" s="1643"/>
    </row>
    <row customHeight="1" ht="11.25">
      <c r="A129" s="1174" t="s">
        <v>1040</v>
      </c>
      <c r="B129" s="1174"/>
      <c r="C129" s="1174"/>
      <c r="D129" s="1168"/>
      <c r="E129" s="1178"/>
      <c r="F129" s="1836"/>
      <c r="G129" s="1837"/>
      <c r="H129" s="2536" t="s">
        <v>1133</v>
      </c>
      <c r="I129" s="2537"/>
      <c r="J129" s="2506"/>
      <c r="K129" s="2538"/>
      <c r="L129" s="2128"/>
      <c r="M129" s="2129"/>
      <c r="N129" s="2529"/>
      <c r="O129" s="2530">
        <v>1</v>
      </c>
      <c r="P129" s="2531" t="s">
        <v>61</v>
      </c>
      <c r="Q129" s="2735" t="s">
        <v>1079</v>
      </c>
      <c r="R129" s="2736" t="s">
        <v>1080</v>
      </c>
      <c r="S129" s="2736" t="s">
        <v>99</v>
      </c>
      <c r="T129" s="2736" t="s">
        <v>99</v>
      </c>
      <c r="U129" s="2736" t="s">
        <v>100</v>
      </c>
      <c r="V129" s="2736" t="s">
        <v>1081</v>
      </c>
      <c r="W129" s="2736" t="s">
        <v>1082</v>
      </c>
      <c r="X129" s="2736" t="s">
        <v>1083</v>
      </c>
      <c r="Y129" s="2736" t="s">
        <v>1084</v>
      </c>
      <c r="Z129" s="1183"/>
      <c r="AA129" s="1184"/>
      <c r="AB129" s="1184"/>
      <c r="AC129" s="1188"/>
      <c r="AD129" s="1188"/>
      <c r="AE129" s="1189"/>
      <c r="AF129" s="2527"/>
      <c r="AG129" s="2528"/>
      <c r="AH129" s="2528"/>
      <c r="AI129" s="2734"/>
      <c r="AJ129" s="2528"/>
      <c r="AK129" s="2528"/>
      <c r="AL129" s="1993"/>
      <c r="AM129" s="1830"/>
      <c r="AN129" s="1830"/>
      <c r="AO129" s="1830"/>
      <c r="AP129" s="1830"/>
      <c r="AQ129" s="1830"/>
      <c r="AR129" s="1830"/>
      <c r="AS129" s="1830"/>
      <c r="AT129" s="1830"/>
      <c r="AU129" s="1830"/>
      <c r="AV129" s="1830"/>
      <c r="AW129" s="1830"/>
      <c r="AX129" s="1830"/>
      <c r="AY129" s="1830"/>
      <c r="AZ129" s="1830"/>
      <c r="BA129" s="1830"/>
      <c r="BB129" s="1830"/>
      <c r="BC129" s="1830"/>
      <c r="BD129" s="1830"/>
      <c r="BE129" s="1830"/>
      <c r="BF129" s="1830"/>
      <c r="BG129" s="1643"/>
    </row>
    <row customHeight="1" ht="11.25">
      <c r="A130" s="1174" t="s">
        <v>1040</v>
      </c>
      <c r="B130" s="1174"/>
      <c r="C130" s="1174"/>
      <c r="D130" s="1168"/>
      <c r="E130" s="1178"/>
      <c r="F130" s="1836"/>
      <c r="G130" s="1837"/>
      <c r="H130" s="2536" t="s">
        <v>1133</v>
      </c>
      <c r="I130" s="2537"/>
      <c r="J130" s="2506"/>
      <c r="K130" s="2538"/>
      <c r="L130" s="2128"/>
      <c r="M130" s="2129"/>
      <c r="N130" s="2529"/>
      <c r="O130" s="2530"/>
      <c r="P130" s="2532"/>
      <c r="Q130" s="2735"/>
      <c r="R130" s="2534"/>
      <c r="S130" s="2535"/>
      <c r="T130" s="2534"/>
      <c r="U130" s="2534"/>
      <c r="V130" s="2534"/>
      <c r="W130" s="2534"/>
      <c r="X130" s="2534"/>
      <c r="Y130" s="2534"/>
      <c r="Z130" s="1835"/>
      <c r="AA130" s="1801">
        <v>1</v>
      </c>
      <c r="AB130" s="1187" t="s">
        <v>1114</v>
      </c>
      <c r="AC130" s="1177">
        <v>2343.19</v>
      </c>
      <c r="AD130" s="1187" t="str">
        <f>AB130</f>
        <v>  За счет платы за технологическое присоединение</v>
      </c>
      <c r="AE130" s="1177">
        <v>0</v>
      </c>
      <c r="AF130" s="2527"/>
      <c r="AG130" s="2528"/>
      <c r="AH130" s="2528"/>
      <c r="AI130" s="2734"/>
      <c r="AJ130" s="2528"/>
      <c r="AK130" s="2528"/>
      <c r="AL130" s="1993"/>
      <c r="AM130" s="1830"/>
      <c r="AN130" s="1830"/>
      <c r="AO130" s="1830"/>
      <c r="AP130" s="1830"/>
      <c r="AQ130" s="1830"/>
      <c r="AR130" s="1830"/>
      <c r="AS130" s="1830"/>
      <c r="AT130" s="1830"/>
      <c r="AU130" s="1830"/>
      <c r="AV130" s="1830"/>
      <c r="AW130" s="1830"/>
      <c r="AX130" s="1830"/>
      <c r="AY130" s="1830"/>
      <c r="AZ130" s="1830"/>
      <c r="BA130" s="1830"/>
      <c r="BB130" s="1830"/>
      <c r="BC130" s="1830"/>
      <c r="BD130" s="1830"/>
      <c r="BE130" s="1830"/>
      <c r="BF130" s="1830"/>
      <c r="BG130" s="1643"/>
    </row>
    <row customHeight="1" ht="11.25">
      <c r="A131" s="1174" t="s">
        <v>1040</v>
      </c>
      <c r="B131" s="1174"/>
      <c r="C131" s="1174"/>
      <c r="D131" s="1168"/>
      <c r="E131" s="1178"/>
      <c r="F131" s="1837"/>
      <c r="G131" s="1837"/>
      <c r="H131" s="1837"/>
      <c r="I131" s="1837"/>
      <c r="J131" s="1837"/>
      <c r="K131" s="1837"/>
      <c r="L131" s="1837"/>
      <c r="M131" s="1837"/>
      <c r="N131" s="1837"/>
      <c r="O131" s="1837"/>
      <c r="P131" s="1837"/>
      <c r="Q131" s="1837"/>
      <c r="R131" s="1837"/>
      <c r="S131" s="1837"/>
      <c r="T131" s="1837"/>
      <c r="U131" s="1837"/>
      <c r="V131" s="1837"/>
      <c r="W131" s="1837"/>
      <c r="X131" s="1837"/>
      <c r="Y131" s="1837"/>
      <c r="Z131" s="691" t="s">
        <v>103</v>
      </c>
      <c r="AA131" s="1821" t="s">
        <v>102</v>
      </c>
      <c r="AB131" s="1187" t="s">
        <v>1085</v>
      </c>
      <c r="AC131" s="1177">
        <v>468.64</v>
      </c>
      <c r="AD131" s="1187" t="str">
        <f>AB131</f>
        <v>  Прочие собственные средства</v>
      </c>
      <c r="AE131" s="1177">
        <v>0</v>
      </c>
      <c r="AF131" s="2094"/>
      <c r="AG131" s="1766"/>
      <c r="AH131" s="1766"/>
      <c r="AI131" s="2740"/>
      <c r="AJ131" s="1766"/>
      <c r="AK131" s="1992"/>
      <c r="AL131" s="1993"/>
      <c r="AM131" s="1830"/>
      <c r="AN131" s="1830"/>
      <c r="AO131" s="1830"/>
      <c r="AP131" s="1830"/>
      <c r="AQ131" s="1830"/>
      <c r="AR131" s="1830"/>
      <c r="AS131" s="1830"/>
      <c r="AT131" s="1830"/>
      <c r="AU131" s="1830"/>
      <c r="AV131" s="1830"/>
      <c r="AW131" s="1830"/>
      <c r="AX131" s="1830"/>
      <c r="AY131" s="1830"/>
      <c r="AZ131" s="1830"/>
      <c r="BA131" s="1830"/>
      <c r="BB131" s="1830"/>
      <c r="BC131" s="1830"/>
      <c r="BD131" s="1830"/>
      <c r="BE131" s="1830"/>
      <c r="BF131" s="1830"/>
      <c r="BG131" s="1643"/>
    </row>
    <row customHeight="1" ht="11.25">
      <c r="A132" s="1174" t="s">
        <v>1040</v>
      </c>
      <c r="B132" s="1174"/>
      <c r="C132" s="1174"/>
      <c r="D132" s="1168"/>
      <c r="E132" s="1178"/>
      <c r="F132" s="1836"/>
      <c r="G132" s="1837"/>
      <c r="H132" s="2536" t="s">
        <v>1133</v>
      </c>
      <c r="I132" s="2537"/>
      <c r="J132" s="2506"/>
      <c r="K132" s="2538"/>
      <c r="L132" s="2128"/>
      <c r="M132" s="2129"/>
      <c r="N132" s="2529"/>
      <c r="O132" s="2530"/>
      <c r="P132" s="2533"/>
      <c r="Q132" s="2735"/>
      <c r="R132" s="2534"/>
      <c r="S132" s="2535"/>
      <c r="T132" s="2534"/>
      <c r="U132" s="2534"/>
      <c r="V132" s="2534"/>
      <c r="W132" s="2534"/>
      <c r="X132" s="2534"/>
      <c r="Y132" s="2534"/>
      <c r="Z132" s="1183"/>
      <c r="AA132" s="1184"/>
      <c r="AB132" s="1249" t="s">
        <v>1086</v>
      </c>
      <c r="AC132" s="1188"/>
      <c r="AD132" s="1188"/>
      <c r="AE132" s="1190"/>
      <c r="AF132" s="2527"/>
      <c r="AG132" s="2528"/>
      <c r="AH132" s="2528"/>
      <c r="AI132" s="2734"/>
      <c r="AJ132" s="2528"/>
      <c r="AK132" s="2528"/>
      <c r="AL132" s="1993"/>
      <c r="AM132" s="1830"/>
      <c r="AN132" s="1830"/>
      <c r="AO132" s="1830"/>
      <c r="AP132" s="1830"/>
      <c r="AQ132" s="1830"/>
      <c r="AR132" s="1830"/>
      <c r="AS132" s="1830"/>
      <c r="AT132" s="1830"/>
      <c r="AU132" s="1830"/>
      <c r="AV132" s="1830"/>
      <c r="AW132" s="1830"/>
      <c r="AX132" s="1830"/>
      <c r="AY132" s="1830"/>
      <c r="AZ132" s="1830"/>
      <c r="BA132" s="1830"/>
      <c r="BB132" s="1830"/>
      <c r="BC132" s="1830"/>
      <c r="BD132" s="1830"/>
      <c r="BE132" s="1830"/>
      <c r="BF132" s="1830"/>
      <c r="BG132" s="1643"/>
    </row>
    <row customHeight="1" ht="11.25">
      <c r="A133" s="1174" t="s">
        <v>1040</v>
      </c>
      <c r="B133" s="1174"/>
      <c r="C133" s="1174"/>
      <c r="D133" s="1168"/>
      <c r="E133" s="1178"/>
      <c r="F133" s="1836"/>
      <c r="G133" s="1837"/>
      <c r="H133" s="2536" t="s">
        <v>1133</v>
      </c>
      <c r="I133" s="2537"/>
      <c r="J133" s="2506"/>
      <c r="K133" s="2538"/>
      <c r="L133" s="2128"/>
      <c r="M133" s="2129"/>
      <c r="N133" s="1183"/>
      <c r="O133" s="1184"/>
      <c r="P133" s="1176" t="s">
        <v>1087</v>
      </c>
      <c r="Q133" s="1184"/>
      <c r="R133" s="1184"/>
      <c r="S133" s="1184"/>
      <c r="T133" s="1184"/>
      <c r="U133" s="1184"/>
      <c r="V133" s="1184"/>
      <c r="W133" s="1184"/>
      <c r="X133" s="1184"/>
      <c r="Y133" s="1184"/>
      <c r="Z133" s="1184"/>
      <c r="AA133" s="1184"/>
      <c r="AB133" s="1184"/>
      <c r="AC133" s="1184"/>
      <c r="AD133" s="1184"/>
      <c r="AE133" s="1191"/>
      <c r="AF133" s="2527"/>
      <c r="AG133" s="2528"/>
      <c r="AH133" s="2528"/>
      <c r="AI133" s="2734"/>
      <c r="AJ133" s="2528"/>
      <c r="AK133" s="2528"/>
      <c r="AL133" s="1993"/>
      <c r="AM133" s="1830"/>
      <c r="AN133" s="1830"/>
      <c r="AO133" s="1830"/>
      <c r="AP133" s="1830"/>
      <c r="AQ133" s="1830"/>
      <c r="AR133" s="1830"/>
      <c r="AS133" s="1830"/>
      <c r="AT133" s="1830"/>
      <c r="AU133" s="1830"/>
      <c r="AV133" s="1830"/>
      <c r="AW133" s="1830"/>
      <c r="AX133" s="1830"/>
      <c r="AY133" s="1830"/>
      <c r="AZ133" s="1830"/>
      <c r="BA133" s="1830"/>
      <c r="BB133" s="1830"/>
      <c r="BC133" s="1830"/>
      <c r="BD133" s="1830"/>
      <c r="BE133" s="1830"/>
      <c r="BF133" s="1830"/>
      <c r="BG133" s="1643"/>
    </row>
    <row customHeight="1" ht="11.25">
      <c r="A134" s="1174" t="s">
        <v>1040</v>
      </c>
      <c r="B134" s="1174" t="s">
        <v>1119</v>
      </c>
      <c r="C134" s="1174"/>
      <c r="D134" s="1168"/>
      <c r="E134" s="1178"/>
      <c r="F134" s="1836"/>
      <c r="G134" s="691" t="s">
        <v>103</v>
      </c>
      <c r="H134" s="2536" t="s">
        <v>1137</v>
      </c>
      <c r="I134" s="2537" t="s">
        <v>1121</v>
      </c>
      <c r="J134" s="2506" t="s">
        <v>1125</v>
      </c>
      <c r="K134" s="2538" t="s">
        <v>1138</v>
      </c>
      <c r="L134" s="2128" t="s">
        <v>19</v>
      </c>
      <c r="M134" s="2129"/>
      <c r="N134" s="1991"/>
      <c r="O134" s="1185" t="s">
        <v>393</v>
      </c>
      <c r="P134" s="1186"/>
      <c r="Q134" s="1186"/>
      <c r="R134" s="1186"/>
      <c r="S134" s="1186"/>
      <c r="T134" s="1186"/>
      <c r="U134" s="1186"/>
      <c r="V134" s="1186"/>
      <c r="W134" s="1186"/>
      <c r="X134" s="1186"/>
      <c r="Y134" s="1186"/>
      <c r="Z134" s="1186"/>
      <c r="AA134" s="1186"/>
      <c r="AB134" s="1186"/>
      <c r="AC134" s="1186"/>
      <c r="AD134" s="1186"/>
      <c r="AE134" s="1186"/>
      <c r="AF134" s="2527">
        <v>1</v>
      </c>
      <c r="AG134" s="2528" t="s">
        <v>1076</v>
      </c>
      <c r="AH134" s="2528" t="s">
        <v>1091</v>
      </c>
      <c r="AI134" s="2734"/>
      <c r="AJ134" s="2528" t="s">
        <v>1132</v>
      </c>
      <c r="AK134" s="2528" t="s">
        <v>1132</v>
      </c>
      <c r="AL134" s="1993"/>
      <c r="AM134" s="1830"/>
      <c r="AN134" s="1830"/>
      <c r="AO134" s="1830"/>
      <c r="AP134" s="1830"/>
      <c r="AQ134" s="1830"/>
      <c r="AR134" s="1830"/>
      <c r="AS134" s="1830"/>
      <c r="AT134" s="1830"/>
      <c r="AU134" s="1830"/>
      <c r="AV134" s="1830"/>
      <c r="AW134" s="1830"/>
      <c r="AX134" s="1830"/>
      <c r="AY134" s="1830"/>
      <c r="AZ134" s="1830"/>
      <c r="BA134" s="1830"/>
      <c r="BB134" s="1830"/>
      <c r="BC134" s="1830"/>
      <c r="BD134" s="1830"/>
      <c r="BE134" s="1830"/>
      <c r="BF134" s="1830"/>
      <c r="BG134" s="1643"/>
    </row>
    <row customHeight="1" ht="11.25">
      <c r="A135" s="1174" t="s">
        <v>1040</v>
      </c>
      <c r="B135" s="1174"/>
      <c r="C135" s="1174"/>
      <c r="D135" s="1168"/>
      <c r="E135" s="1178"/>
      <c r="F135" s="1836"/>
      <c r="G135" s="1837"/>
      <c r="H135" s="2536" t="s">
        <v>1135</v>
      </c>
      <c r="I135" s="2537"/>
      <c r="J135" s="2506"/>
      <c r="K135" s="2538"/>
      <c r="L135" s="2128"/>
      <c r="M135" s="2129"/>
      <c r="N135" s="2529"/>
      <c r="O135" s="2530">
        <v>1</v>
      </c>
      <c r="P135" s="2531" t="s">
        <v>61</v>
      </c>
      <c r="Q135" s="2735" t="s">
        <v>1079</v>
      </c>
      <c r="R135" s="2736" t="s">
        <v>1080</v>
      </c>
      <c r="S135" s="2736" t="s">
        <v>99</v>
      </c>
      <c r="T135" s="2736" t="s">
        <v>99</v>
      </c>
      <c r="U135" s="2736" t="s">
        <v>100</v>
      </c>
      <c r="V135" s="2736" t="s">
        <v>1081</v>
      </c>
      <c r="W135" s="2736" t="s">
        <v>1082</v>
      </c>
      <c r="X135" s="2736" t="s">
        <v>1083</v>
      </c>
      <c r="Y135" s="2736" t="s">
        <v>1084</v>
      </c>
      <c r="Z135" s="1183"/>
      <c r="AA135" s="1184"/>
      <c r="AB135" s="1184"/>
      <c r="AC135" s="1188"/>
      <c r="AD135" s="1188"/>
      <c r="AE135" s="1189"/>
      <c r="AF135" s="2527"/>
      <c r="AG135" s="2528"/>
      <c r="AH135" s="2528"/>
      <c r="AI135" s="2734"/>
      <c r="AJ135" s="2528"/>
      <c r="AK135" s="2528"/>
      <c r="AL135" s="1993"/>
      <c r="AM135" s="1830"/>
      <c r="AN135" s="1830"/>
      <c r="AO135" s="1830"/>
      <c r="AP135" s="1830"/>
      <c r="AQ135" s="1830"/>
      <c r="AR135" s="1830"/>
      <c r="AS135" s="1830"/>
      <c r="AT135" s="1830"/>
      <c r="AU135" s="1830"/>
      <c r="AV135" s="1830"/>
      <c r="AW135" s="1830"/>
      <c r="AX135" s="1830"/>
      <c r="AY135" s="1830"/>
      <c r="AZ135" s="1830"/>
      <c r="BA135" s="1830"/>
      <c r="BB135" s="1830"/>
      <c r="BC135" s="1830"/>
      <c r="BD135" s="1830"/>
      <c r="BE135" s="1830"/>
      <c r="BF135" s="1830"/>
      <c r="BG135" s="1643"/>
    </row>
    <row customHeight="1" ht="11.25">
      <c r="A136" s="1174" t="s">
        <v>1040</v>
      </c>
      <c r="B136" s="1174"/>
      <c r="C136" s="1174"/>
      <c r="D136" s="1168"/>
      <c r="E136" s="1178"/>
      <c r="F136" s="1836"/>
      <c r="G136" s="1837"/>
      <c r="H136" s="2536" t="s">
        <v>1135</v>
      </c>
      <c r="I136" s="2537"/>
      <c r="J136" s="2506"/>
      <c r="K136" s="2538"/>
      <c r="L136" s="2128"/>
      <c r="M136" s="2129"/>
      <c r="N136" s="2529"/>
      <c r="O136" s="2530"/>
      <c r="P136" s="2532"/>
      <c r="Q136" s="2735"/>
      <c r="R136" s="2534"/>
      <c r="S136" s="2535"/>
      <c r="T136" s="2534"/>
      <c r="U136" s="2534"/>
      <c r="V136" s="2534"/>
      <c r="W136" s="2534"/>
      <c r="X136" s="2534"/>
      <c r="Y136" s="2534"/>
      <c r="Z136" s="1835"/>
      <c r="AA136" s="1801">
        <v>1</v>
      </c>
      <c r="AB136" s="1187" t="s">
        <v>1114</v>
      </c>
      <c r="AC136" s="1177">
        <v>2747.01</v>
      </c>
      <c r="AD136" s="1187" t="str">
        <f>AB136</f>
        <v>  За счет платы за технологическое присоединение</v>
      </c>
      <c r="AE136" s="1177">
        <v>0</v>
      </c>
      <c r="AF136" s="2527"/>
      <c r="AG136" s="2528"/>
      <c r="AH136" s="2528"/>
      <c r="AI136" s="2734"/>
      <c r="AJ136" s="2528"/>
      <c r="AK136" s="2528"/>
      <c r="AL136" s="1993"/>
      <c r="AM136" s="1830"/>
      <c r="AN136" s="1830"/>
      <c r="AO136" s="1830"/>
      <c r="AP136" s="1830"/>
      <c r="AQ136" s="1830"/>
      <c r="AR136" s="1830"/>
      <c r="AS136" s="1830"/>
      <c r="AT136" s="1830"/>
      <c r="AU136" s="1830"/>
      <c r="AV136" s="1830"/>
      <c r="AW136" s="1830"/>
      <c r="AX136" s="1830"/>
      <c r="AY136" s="1830"/>
      <c r="AZ136" s="1830"/>
      <c r="BA136" s="1830"/>
      <c r="BB136" s="1830"/>
      <c r="BC136" s="1830"/>
      <c r="BD136" s="1830"/>
      <c r="BE136" s="1830"/>
      <c r="BF136" s="1830"/>
      <c r="BG136" s="1643"/>
    </row>
    <row customHeight="1" ht="11.25">
      <c r="A137" s="1174" t="s">
        <v>1040</v>
      </c>
      <c r="B137" s="1174"/>
      <c r="C137" s="1174"/>
      <c r="D137" s="1168"/>
      <c r="E137" s="1178"/>
      <c r="F137" s="1837"/>
      <c r="G137" s="1837"/>
      <c r="H137" s="1837"/>
      <c r="I137" s="1837"/>
      <c r="J137" s="1837"/>
      <c r="K137" s="1837"/>
      <c r="L137" s="1837"/>
      <c r="M137" s="1837"/>
      <c r="N137" s="1837"/>
      <c r="O137" s="1837"/>
      <c r="P137" s="1837"/>
      <c r="Q137" s="1837"/>
      <c r="R137" s="1837"/>
      <c r="S137" s="1837"/>
      <c r="T137" s="1837"/>
      <c r="U137" s="1837"/>
      <c r="V137" s="1837"/>
      <c r="W137" s="1837"/>
      <c r="X137" s="1837"/>
      <c r="Y137" s="1837"/>
      <c r="Z137" s="691" t="s">
        <v>103</v>
      </c>
      <c r="AA137" s="1821" t="s">
        <v>102</v>
      </c>
      <c r="AB137" s="1187" t="s">
        <v>1085</v>
      </c>
      <c r="AC137" s="1177">
        <v>549.4</v>
      </c>
      <c r="AD137" s="1187" t="str">
        <f>AB137</f>
        <v>  Прочие собственные средства</v>
      </c>
      <c r="AE137" s="1177">
        <v>0</v>
      </c>
      <c r="AF137" s="2094"/>
      <c r="AG137" s="1766"/>
      <c r="AH137" s="1766"/>
      <c r="AI137" s="2740"/>
      <c r="AJ137" s="1766"/>
      <c r="AK137" s="1992"/>
      <c r="AL137" s="1993"/>
      <c r="AM137" s="1830"/>
      <c r="AN137" s="1830"/>
      <c r="AO137" s="1830"/>
      <c r="AP137" s="1830"/>
      <c r="AQ137" s="1830"/>
      <c r="AR137" s="1830"/>
      <c r="AS137" s="1830"/>
      <c r="AT137" s="1830"/>
      <c r="AU137" s="1830"/>
      <c r="AV137" s="1830"/>
      <c r="AW137" s="1830"/>
      <c r="AX137" s="1830"/>
      <c r="AY137" s="1830"/>
      <c r="AZ137" s="1830"/>
      <c r="BA137" s="1830"/>
      <c r="BB137" s="1830"/>
      <c r="BC137" s="1830"/>
      <c r="BD137" s="1830"/>
      <c r="BE137" s="1830"/>
      <c r="BF137" s="1830"/>
      <c r="BG137" s="1643"/>
    </row>
    <row customHeight="1" ht="11.25">
      <c r="A138" s="1174" t="s">
        <v>1040</v>
      </c>
      <c r="B138" s="1174"/>
      <c r="C138" s="1174"/>
      <c r="D138" s="1168"/>
      <c r="E138" s="1178"/>
      <c r="F138" s="1836"/>
      <c r="G138" s="1837"/>
      <c r="H138" s="2536" t="s">
        <v>1135</v>
      </c>
      <c r="I138" s="2537"/>
      <c r="J138" s="2506"/>
      <c r="K138" s="2538"/>
      <c r="L138" s="2128"/>
      <c r="M138" s="2129"/>
      <c r="N138" s="2529"/>
      <c r="O138" s="2530"/>
      <c r="P138" s="2533"/>
      <c r="Q138" s="2735"/>
      <c r="R138" s="2534"/>
      <c r="S138" s="2535"/>
      <c r="T138" s="2534"/>
      <c r="U138" s="2534"/>
      <c r="V138" s="2534"/>
      <c r="W138" s="2534"/>
      <c r="X138" s="2534"/>
      <c r="Y138" s="2534"/>
      <c r="Z138" s="1183"/>
      <c r="AA138" s="1184"/>
      <c r="AB138" s="1249" t="s">
        <v>1086</v>
      </c>
      <c r="AC138" s="1188"/>
      <c r="AD138" s="1188"/>
      <c r="AE138" s="1190"/>
      <c r="AF138" s="2527"/>
      <c r="AG138" s="2528"/>
      <c r="AH138" s="2528"/>
      <c r="AI138" s="2734"/>
      <c r="AJ138" s="2528"/>
      <c r="AK138" s="2528"/>
      <c r="AL138" s="1993"/>
      <c r="AM138" s="1830"/>
      <c r="AN138" s="1830"/>
      <c r="AO138" s="1830"/>
      <c r="AP138" s="1830"/>
      <c r="AQ138" s="1830"/>
      <c r="AR138" s="1830"/>
      <c r="AS138" s="1830"/>
      <c r="AT138" s="1830"/>
      <c r="AU138" s="1830"/>
      <c r="AV138" s="1830"/>
      <c r="AW138" s="1830"/>
      <c r="AX138" s="1830"/>
      <c r="AY138" s="1830"/>
      <c r="AZ138" s="1830"/>
      <c r="BA138" s="1830"/>
      <c r="BB138" s="1830"/>
      <c r="BC138" s="1830"/>
      <c r="BD138" s="1830"/>
      <c r="BE138" s="1830"/>
      <c r="BF138" s="1830"/>
      <c r="BG138" s="1643"/>
    </row>
    <row customHeight="1" ht="11.25">
      <c r="A139" s="1174" t="s">
        <v>1040</v>
      </c>
      <c r="B139" s="1174"/>
      <c r="C139" s="1174"/>
      <c r="D139" s="1168"/>
      <c r="E139" s="1178"/>
      <c r="F139" s="1836"/>
      <c r="G139" s="1837"/>
      <c r="H139" s="2536" t="s">
        <v>1135</v>
      </c>
      <c r="I139" s="2537"/>
      <c r="J139" s="2506"/>
      <c r="K139" s="2538"/>
      <c r="L139" s="2128"/>
      <c r="M139" s="2129"/>
      <c r="N139" s="1183"/>
      <c r="O139" s="1184"/>
      <c r="P139" s="1176" t="s">
        <v>1087</v>
      </c>
      <c r="Q139" s="1184"/>
      <c r="R139" s="1184"/>
      <c r="S139" s="1184"/>
      <c r="T139" s="1184"/>
      <c r="U139" s="1184"/>
      <c r="V139" s="1184"/>
      <c r="W139" s="1184"/>
      <c r="X139" s="1184"/>
      <c r="Y139" s="1184"/>
      <c r="Z139" s="1184"/>
      <c r="AA139" s="1184"/>
      <c r="AB139" s="1184"/>
      <c r="AC139" s="1184"/>
      <c r="AD139" s="1184"/>
      <c r="AE139" s="1191"/>
      <c r="AF139" s="2527"/>
      <c r="AG139" s="2528"/>
      <c r="AH139" s="2528"/>
      <c r="AI139" s="2734"/>
      <c r="AJ139" s="2528"/>
      <c r="AK139" s="2528"/>
      <c r="AL139" s="1993"/>
      <c r="AM139" s="1830"/>
      <c r="AN139" s="1830"/>
      <c r="AO139" s="1830"/>
      <c r="AP139" s="1830"/>
      <c r="AQ139" s="1830"/>
      <c r="AR139" s="1830"/>
      <c r="AS139" s="1830"/>
      <c r="AT139" s="1830"/>
      <c r="AU139" s="1830"/>
      <c r="AV139" s="1830"/>
      <c r="AW139" s="1830"/>
      <c r="AX139" s="1830"/>
      <c r="AY139" s="1830"/>
      <c r="AZ139" s="1830"/>
      <c r="BA139" s="1830"/>
      <c r="BB139" s="1830"/>
      <c r="BC139" s="1830"/>
      <c r="BD139" s="1830"/>
      <c r="BE139" s="1830"/>
      <c r="BF139" s="1830"/>
      <c r="BG139" s="1643"/>
    </row>
    <row customHeight="1" ht="11.25">
      <c r="A140" s="1174" t="s">
        <v>1040</v>
      </c>
      <c r="B140" s="1174" t="s">
        <v>1119</v>
      </c>
      <c r="C140" s="1174"/>
      <c r="D140" s="1168"/>
      <c r="E140" s="1178"/>
      <c r="F140" s="1836"/>
      <c r="G140" s="691" t="s">
        <v>103</v>
      </c>
      <c r="H140" s="2536" t="s">
        <v>1139</v>
      </c>
      <c r="I140" s="2537" t="s">
        <v>1121</v>
      </c>
      <c r="J140" s="2506" t="s">
        <v>1125</v>
      </c>
      <c r="K140" s="2538" t="s">
        <v>1140</v>
      </c>
      <c r="L140" s="2128" t="s">
        <v>19</v>
      </c>
      <c r="M140" s="2129"/>
      <c r="N140" s="1991"/>
      <c r="O140" s="1185" t="s">
        <v>393</v>
      </c>
      <c r="P140" s="1186"/>
      <c r="Q140" s="1186"/>
      <c r="R140" s="1186"/>
      <c r="S140" s="1186"/>
      <c r="T140" s="1186"/>
      <c r="U140" s="1186"/>
      <c r="V140" s="1186"/>
      <c r="W140" s="1186"/>
      <c r="X140" s="1186"/>
      <c r="Y140" s="1186"/>
      <c r="Z140" s="1186"/>
      <c r="AA140" s="1186"/>
      <c r="AB140" s="1186"/>
      <c r="AC140" s="1186"/>
      <c r="AD140" s="1186"/>
      <c r="AE140" s="1186"/>
      <c r="AF140" s="2527">
        <v>1</v>
      </c>
      <c r="AG140" s="2528" t="s">
        <v>1076</v>
      </c>
      <c r="AH140" s="2528" t="s">
        <v>1091</v>
      </c>
      <c r="AI140" s="2734"/>
      <c r="AJ140" s="2528" t="s">
        <v>1132</v>
      </c>
      <c r="AK140" s="2528" t="s">
        <v>1132</v>
      </c>
      <c r="AL140" s="1993"/>
      <c r="AM140" s="1830"/>
      <c r="AN140" s="1830"/>
      <c r="AO140" s="1830"/>
      <c r="AP140" s="1830"/>
      <c r="AQ140" s="1830"/>
      <c r="AR140" s="1830"/>
      <c r="AS140" s="1830"/>
      <c r="AT140" s="1830"/>
      <c r="AU140" s="1830"/>
      <c r="AV140" s="1830"/>
      <c r="AW140" s="1830"/>
      <c r="AX140" s="1830"/>
      <c r="AY140" s="1830"/>
      <c r="AZ140" s="1830"/>
      <c r="BA140" s="1830"/>
      <c r="BB140" s="1830"/>
      <c r="BC140" s="1830"/>
      <c r="BD140" s="1830"/>
      <c r="BE140" s="1830"/>
      <c r="BF140" s="1830"/>
      <c r="BG140" s="1643"/>
    </row>
    <row customHeight="1" ht="11.25">
      <c r="A141" s="1174" t="s">
        <v>1040</v>
      </c>
      <c r="B141" s="1174"/>
      <c r="C141" s="1174"/>
      <c r="D141" s="1168"/>
      <c r="E141" s="1178"/>
      <c r="F141" s="1836"/>
      <c r="G141" s="1837"/>
      <c r="H141" s="2536" t="s">
        <v>1137</v>
      </c>
      <c r="I141" s="2537"/>
      <c r="J141" s="2506"/>
      <c r="K141" s="2538"/>
      <c r="L141" s="2128"/>
      <c r="M141" s="2129"/>
      <c r="N141" s="2529"/>
      <c r="O141" s="2530">
        <v>1</v>
      </c>
      <c r="P141" s="2531" t="s">
        <v>61</v>
      </c>
      <c r="Q141" s="2735" t="s">
        <v>1079</v>
      </c>
      <c r="R141" s="2736" t="s">
        <v>1080</v>
      </c>
      <c r="S141" s="2736" t="s">
        <v>99</v>
      </c>
      <c r="T141" s="2736" t="s">
        <v>99</v>
      </c>
      <c r="U141" s="2736" t="s">
        <v>100</v>
      </c>
      <c r="V141" s="2736" t="s">
        <v>1081</v>
      </c>
      <c r="W141" s="2736" t="s">
        <v>1082</v>
      </c>
      <c r="X141" s="2736" t="s">
        <v>1083</v>
      </c>
      <c r="Y141" s="2736" t="s">
        <v>1084</v>
      </c>
      <c r="Z141" s="1183"/>
      <c r="AA141" s="1184"/>
      <c r="AB141" s="1184"/>
      <c r="AC141" s="1188"/>
      <c r="AD141" s="1188"/>
      <c r="AE141" s="1189"/>
      <c r="AF141" s="2527"/>
      <c r="AG141" s="2528"/>
      <c r="AH141" s="2528"/>
      <c r="AI141" s="2734"/>
      <c r="AJ141" s="2528"/>
      <c r="AK141" s="2528"/>
      <c r="AL141" s="1993"/>
      <c r="AM141" s="1830"/>
      <c r="AN141" s="1830"/>
      <c r="AO141" s="1830"/>
      <c r="AP141" s="1830"/>
      <c r="AQ141" s="1830"/>
      <c r="AR141" s="1830"/>
      <c r="AS141" s="1830"/>
      <c r="AT141" s="1830"/>
      <c r="AU141" s="1830"/>
      <c r="AV141" s="1830"/>
      <c r="AW141" s="1830"/>
      <c r="AX141" s="1830"/>
      <c r="AY141" s="1830"/>
      <c r="AZ141" s="1830"/>
      <c r="BA141" s="1830"/>
      <c r="BB141" s="1830"/>
      <c r="BC141" s="1830"/>
      <c r="BD141" s="1830"/>
      <c r="BE141" s="1830"/>
      <c r="BF141" s="1830"/>
      <c r="BG141" s="1643"/>
    </row>
    <row customHeight="1" ht="11.25">
      <c r="A142" s="1174" t="s">
        <v>1040</v>
      </c>
      <c r="B142" s="1174"/>
      <c r="C142" s="1174"/>
      <c r="D142" s="1168"/>
      <c r="E142" s="1178"/>
      <c r="F142" s="1836"/>
      <c r="G142" s="1837"/>
      <c r="H142" s="2536" t="s">
        <v>1137</v>
      </c>
      <c r="I142" s="2537"/>
      <c r="J142" s="2506"/>
      <c r="K142" s="2538"/>
      <c r="L142" s="2128"/>
      <c r="M142" s="2129"/>
      <c r="N142" s="2529"/>
      <c r="O142" s="2530"/>
      <c r="P142" s="2532"/>
      <c r="Q142" s="2735"/>
      <c r="R142" s="2534"/>
      <c r="S142" s="2535"/>
      <c r="T142" s="2534"/>
      <c r="U142" s="2534"/>
      <c r="V142" s="2534"/>
      <c r="W142" s="2534"/>
      <c r="X142" s="2534"/>
      <c r="Y142" s="2534"/>
      <c r="Z142" s="1835"/>
      <c r="AA142" s="1801">
        <v>1</v>
      </c>
      <c r="AB142" s="1187" t="s">
        <v>1114</v>
      </c>
      <c r="AC142" s="1177">
        <v>3324.7</v>
      </c>
      <c r="AD142" s="1187" t="str">
        <f>AB142</f>
        <v>  За счет платы за технологическое присоединение</v>
      </c>
      <c r="AE142" s="1177">
        <v>0</v>
      </c>
      <c r="AF142" s="2527"/>
      <c r="AG142" s="2528"/>
      <c r="AH142" s="2528"/>
      <c r="AI142" s="2734"/>
      <c r="AJ142" s="2528"/>
      <c r="AK142" s="2528"/>
      <c r="AL142" s="1993"/>
      <c r="AM142" s="1830"/>
      <c r="AN142" s="1830"/>
      <c r="AO142" s="1830"/>
      <c r="AP142" s="1830"/>
      <c r="AQ142" s="1830"/>
      <c r="AR142" s="1830"/>
      <c r="AS142" s="1830"/>
      <c r="AT142" s="1830"/>
      <c r="AU142" s="1830"/>
      <c r="AV142" s="1830"/>
      <c r="AW142" s="1830"/>
      <c r="AX142" s="1830"/>
      <c r="AY142" s="1830"/>
      <c r="AZ142" s="1830"/>
      <c r="BA142" s="1830"/>
      <c r="BB142" s="1830"/>
      <c r="BC142" s="1830"/>
      <c r="BD142" s="1830"/>
      <c r="BE142" s="1830"/>
      <c r="BF142" s="1830"/>
      <c r="BG142" s="1643"/>
    </row>
    <row customHeight="1" ht="11.25">
      <c r="A143" s="1174" t="s">
        <v>1040</v>
      </c>
      <c r="B143" s="1174"/>
      <c r="C143" s="1174"/>
      <c r="D143" s="1168"/>
      <c r="E143" s="1178"/>
      <c r="F143" s="1837"/>
      <c r="G143" s="1837"/>
      <c r="H143" s="1837"/>
      <c r="I143" s="1837"/>
      <c r="J143" s="1837"/>
      <c r="K143" s="1837"/>
      <c r="L143" s="1837"/>
      <c r="M143" s="1837"/>
      <c r="N143" s="1837"/>
      <c r="O143" s="1837"/>
      <c r="P143" s="1837"/>
      <c r="Q143" s="1837"/>
      <c r="R143" s="1837"/>
      <c r="S143" s="1837"/>
      <c r="T143" s="1837"/>
      <c r="U143" s="1837"/>
      <c r="V143" s="1837"/>
      <c r="W143" s="1837"/>
      <c r="X143" s="1837"/>
      <c r="Y143" s="1837"/>
      <c r="Z143" s="691" t="s">
        <v>103</v>
      </c>
      <c r="AA143" s="1821" t="s">
        <v>102</v>
      </c>
      <c r="AB143" s="1187" t="s">
        <v>1085</v>
      </c>
      <c r="AC143" s="1177">
        <v>664.94</v>
      </c>
      <c r="AD143" s="1187" t="str">
        <f>AB143</f>
        <v>  Прочие собственные средства</v>
      </c>
      <c r="AE143" s="1177">
        <v>0</v>
      </c>
      <c r="AF143" s="2094"/>
      <c r="AG143" s="1766"/>
      <c r="AH143" s="1766"/>
      <c r="AI143" s="2740"/>
      <c r="AJ143" s="1766"/>
      <c r="AK143" s="1992"/>
      <c r="AL143" s="1993"/>
      <c r="AM143" s="1830"/>
      <c r="AN143" s="1830"/>
      <c r="AO143" s="1830"/>
      <c r="AP143" s="1830"/>
      <c r="AQ143" s="1830"/>
      <c r="AR143" s="1830"/>
      <c r="AS143" s="1830"/>
      <c r="AT143" s="1830"/>
      <c r="AU143" s="1830"/>
      <c r="AV143" s="1830"/>
      <c r="AW143" s="1830"/>
      <c r="AX143" s="1830"/>
      <c r="AY143" s="1830"/>
      <c r="AZ143" s="1830"/>
      <c r="BA143" s="1830"/>
      <c r="BB143" s="1830"/>
      <c r="BC143" s="1830"/>
      <c r="BD143" s="1830"/>
      <c r="BE143" s="1830"/>
      <c r="BF143" s="1830"/>
      <c r="BG143" s="1643"/>
    </row>
    <row customHeight="1" ht="11.25">
      <c r="A144" s="1174" t="s">
        <v>1040</v>
      </c>
      <c r="B144" s="1174"/>
      <c r="C144" s="1174"/>
      <c r="D144" s="1168"/>
      <c r="E144" s="1178"/>
      <c r="F144" s="1836"/>
      <c r="G144" s="1837"/>
      <c r="H144" s="2536" t="s">
        <v>1137</v>
      </c>
      <c r="I144" s="2537"/>
      <c r="J144" s="2506"/>
      <c r="K144" s="2538"/>
      <c r="L144" s="2128"/>
      <c r="M144" s="2129"/>
      <c r="N144" s="2529"/>
      <c r="O144" s="2530"/>
      <c r="P144" s="2533"/>
      <c r="Q144" s="2735"/>
      <c r="R144" s="2534"/>
      <c r="S144" s="2535"/>
      <c r="T144" s="2534"/>
      <c r="U144" s="2534"/>
      <c r="V144" s="2534"/>
      <c r="W144" s="2534"/>
      <c r="X144" s="2534"/>
      <c r="Y144" s="2534"/>
      <c r="Z144" s="1183"/>
      <c r="AA144" s="1184"/>
      <c r="AB144" s="1249" t="s">
        <v>1086</v>
      </c>
      <c r="AC144" s="1188"/>
      <c r="AD144" s="1188"/>
      <c r="AE144" s="1190"/>
      <c r="AF144" s="2527"/>
      <c r="AG144" s="2528"/>
      <c r="AH144" s="2528"/>
      <c r="AI144" s="2734"/>
      <c r="AJ144" s="2528"/>
      <c r="AK144" s="2528"/>
      <c r="AL144" s="1993"/>
      <c r="AM144" s="1830"/>
      <c r="AN144" s="1830"/>
      <c r="AO144" s="1830"/>
      <c r="AP144" s="1830"/>
      <c r="AQ144" s="1830"/>
      <c r="AR144" s="1830"/>
      <c r="AS144" s="1830"/>
      <c r="AT144" s="1830"/>
      <c r="AU144" s="1830"/>
      <c r="AV144" s="1830"/>
      <c r="AW144" s="1830"/>
      <c r="AX144" s="1830"/>
      <c r="AY144" s="1830"/>
      <c r="AZ144" s="1830"/>
      <c r="BA144" s="1830"/>
      <c r="BB144" s="1830"/>
      <c r="BC144" s="1830"/>
      <c r="BD144" s="1830"/>
      <c r="BE144" s="1830"/>
      <c r="BF144" s="1830"/>
      <c r="BG144" s="1643"/>
    </row>
    <row customHeight="1" ht="11.25">
      <c r="A145" s="1174" t="s">
        <v>1040</v>
      </c>
      <c r="B145" s="1174"/>
      <c r="C145" s="1174"/>
      <c r="D145" s="1168"/>
      <c r="E145" s="1178"/>
      <c r="F145" s="1836"/>
      <c r="G145" s="1837"/>
      <c r="H145" s="2536" t="s">
        <v>1137</v>
      </c>
      <c r="I145" s="2537"/>
      <c r="J145" s="2506"/>
      <c r="K145" s="2538"/>
      <c r="L145" s="2128"/>
      <c r="M145" s="2129"/>
      <c r="N145" s="1183"/>
      <c r="O145" s="1184"/>
      <c r="P145" s="1176" t="s">
        <v>1087</v>
      </c>
      <c r="Q145" s="1184"/>
      <c r="R145" s="1184"/>
      <c r="S145" s="1184"/>
      <c r="T145" s="1184"/>
      <c r="U145" s="1184"/>
      <c r="V145" s="1184"/>
      <c r="W145" s="1184"/>
      <c r="X145" s="1184"/>
      <c r="Y145" s="1184"/>
      <c r="Z145" s="1184"/>
      <c r="AA145" s="1184"/>
      <c r="AB145" s="1184"/>
      <c r="AC145" s="1184"/>
      <c r="AD145" s="1184"/>
      <c r="AE145" s="1191"/>
      <c r="AF145" s="2527"/>
      <c r="AG145" s="2528"/>
      <c r="AH145" s="2528"/>
      <c r="AI145" s="2734"/>
      <c r="AJ145" s="2528"/>
      <c r="AK145" s="2528"/>
      <c r="AL145" s="1993"/>
      <c r="AM145" s="1830"/>
      <c r="AN145" s="1830"/>
      <c r="AO145" s="1830"/>
      <c r="AP145" s="1830"/>
      <c r="AQ145" s="1830"/>
      <c r="AR145" s="1830"/>
      <c r="AS145" s="1830"/>
      <c r="AT145" s="1830"/>
      <c r="AU145" s="1830"/>
      <c r="AV145" s="1830"/>
      <c r="AW145" s="1830"/>
      <c r="AX145" s="1830"/>
      <c r="AY145" s="1830"/>
      <c r="AZ145" s="1830"/>
      <c r="BA145" s="1830"/>
      <c r="BB145" s="1830"/>
      <c r="BC145" s="1830"/>
      <c r="BD145" s="1830"/>
      <c r="BE145" s="1830"/>
      <c r="BF145" s="1830"/>
      <c r="BG145" s="1643"/>
    </row>
    <row customHeight="1" ht="11.25">
      <c r="A146" s="1174" t="s">
        <v>1040</v>
      </c>
      <c r="B146" s="1174" t="s">
        <v>1119</v>
      </c>
      <c r="C146" s="1174"/>
      <c r="D146" s="1168"/>
      <c r="E146" s="1178"/>
      <c r="F146" s="1836"/>
      <c r="G146" s="691" t="s">
        <v>103</v>
      </c>
      <c r="H146" s="2536" t="s">
        <v>1141</v>
      </c>
      <c r="I146" s="2537" t="s">
        <v>1121</v>
      </c>
      <c r="J146" s="2506" t="s">
        <v>1125</v>
      </c>
      <c r="K146" s="2538" t="s">
        <v>1142</v>
      </c>
      <c r="L146" s="2128" t="s">
        <v>19</v>
      </c>
      <c r="M146" s="2129"/>
      <c r="N146" s="1991"/>
      <c r="O146" s="1185" t="s">
        <v>393</v>
      </c>
      <c r="P146" s="1186"/>
      <c r="Q146" s="1186"/>
      <c r="R146" s="1186"/>
      <c r="S146" s="1186"/>
      <c r="T146" s="1186"/>
      <c r="U146" s="1186"/>
      <c r="V146" s="1186"/>
      <c r="W146" s="1186"/>
      <c r="X146" s="1186"/>
      <c r="Y146" s="1186"/>
      <c r="Z146" s="1186"/>
      <c r="AA146" s="1186"/>
      <c r="AB146" s="1186"/>
      <c r="AC146" s="1186"/>
      <c r="AD146" s="1186"/>
      <c r="AE146" s="1186"/>
      <c r="AF146" s="2527">
        <v>1</v>
      </c>
      <c r="AG146" s="2528" t="s">
        <v>1076</v>
      </c>
      <c r="AH146" s="2528" t="s">
        <v>1091</v>
      </c>
      <c r="AI146" s="2734"/>
      <c r="AJ146" s="2528" t="s">
        <v>1132</v>
      </c>
      <c r="AK146" s="2528" t="s">
        <v>1132</v>
      </c>
      <c r="AL146" s="1993"/>
      <c r="AM146" s="1830"/>
      <c r="AN146" s="1830"/>
      <c r="AO146" s="1830"/>
      <c r="AP146" s="1830"/>
      <c r="AQ146" s="1830"/>
      <c r="AR146" s="1830"/>
      <c r="AS146" s="1830"/>
      <c r="AT146" s="1830"/>
      <c r="AU146" s="1830"/>
      <c r="AV146" s="1830"/>
      <c r="AW146" s="1830"/>
      <c r="AX146" s="1830"/>
      <c r="AY146" s="1830"/>
      <c r="AZ146" s="1830"/>
      <c r="BA146" s="1830"/>
      <c r="BB146" s="1830"/>
      <c r="BC146" s="1830"/>
      <c r="BD146" s="1830"/>
      <c r="BE146" s="1830"/>
      <c r="BF146" s="1830"/>
      <c r="BG146" s="1643"/>
    </row>
    <row customHeight="1" ht="11.25">
      <c r="A147" s="1174" t="s">
        <v>1040</v>
      </c>
      <c r="B147" s="1174"/>
      <c r="C147" s="1174"/>
      <c r="D147" s="1168"/>
      <c r="E147" s="1178"/>
      <c r="F147" s="1836"/>
      <c r="G147" s="1837"/>
      <c r="H147" s="2536" t="s">
        <v>1139</v>
      </c>
      <c r="I147" s="2537"/>
      <c r="J147" s="2506"/>
      <c r="K147" s="2538"/>
      <c r="L147" s="2128"/>
      <c r="M147" s="2129"/>
      <c r="N147" s="2529"/>
      <c r="O147" s="2530">
        <v>1</v>
      </c>
      <c r="P147" s="2531" t="s">
        <v>61</v>
      </c>
      <c r="Q147" s="2735" t="s">
        <v>1079</v>
      </c>
      <c r="R147" s="2736" t="s">
        <v>1080</v>
      </c>
      <c r="S147" s="2736" t="s">
        <v>99</v>
      </c>
      <c r="T147" s="2736" t="s">
        <v>99</v>
      </c>
      <c r="U147" s="2736" t="s">
        <v>100</v>
      </c>
      <c r="V147" s="2736" t="s">
        <v>1081</v>
      </c>
      <c r="W147" s="2736" t="s">
        <v>1082</v>
      </c>
      <c r="X147" s="2736" t="s">
        <v>1083</v>
      </c>
      <c r="Y147" s="2736" t="s">
        <v>1084</v>
      </c>
      <c r="Z147" s="1183"/>
      <c r="AA147" s="1184"/>
      <c r="AB147" s="1184"/>
      <c r="AC147" s="1188"/>
      <c r="AD147" s="1188"/>
      <c r="AE147" s="1189"/>
      <c r="AF147" s="2527"/>
      <c r="AG147" s="2528"/>
      <c r="AH147" s="2528"/>
      <c r="AI147" s="2734"/>
      <c r="AJ147" s="2528"/>
      <c r="AK147" s="2528"/>
      <c r="AL147" s="1993"/>
      <c r="AM147" s="1830"/>
      <c r="AN147" s="1830"/>
      <c r="AO147" s="1830"/>
      <c r="AP147" s="1830"/>
      <c r="AQ147" s="1830"/>
      <c r="AR147" s="1830"/>
      <c r="AS147" s="1830"/>
      <c r="AT147" s="1830"/>
      <c r="AU147" s="1830"/>
      <c r="AV147" s="1830"/>
      <c r="AW147" s="1830"/>
      <c r="AX147" s="1830"/>
      <c r="AY147" s="1830"/>
      <c r="AZ147" s="1830"/>
      <c r="BA147" s="1830"/>
      <c r="BB147" s="1830"/>
      <c r="BC147" s="1830"/>
      <c r="BD147" s="1830"/>
      <c r="BE147" s="1830"/>
      <c r="BF147" s="1830"/>
      <c r="BG147" s="1643"/>
    </row>
    <row customHeight="1" ht="11.25">
      <c r="A148" s="1174" t="s">
        <v>1040</v>
      </c>
      <c r="B148" s="1174"/>
      <c r="C148" s="1174"/>
      <c r="D148" s="1168"/>
      <c r="E148" s="1178"/>
      <c r="F148" s="1836"/>
      <c r="G148" s="1837"/>
      <c r="H148" s="2536" t="s">
        <v>1139</v>
      </c>
      <c r="I148" s="2537"/>
      <c r="J148" s="2506"/>
      <c r="K148" s="2538"/>
      <c r="L148" s="2128"/>
      <c r="M148" s="2129"/>
      <c r="N148" s="2529"/>
      <c r="O148" s="2530"/>
      <c r="P148" s="2532"/>
      <c r="Q148" s="2735"/>
      <c r="R148" s="2534"/>
      <c r="S148" s="2535"/>
      <c r="T148" s="2534"/>
      <c r="U148" s="2534"/>
      <c r="V148" s="2534"/>
      <c r="W148" s="2534"/>
      <c r="X148" s="2534"/>
      <c r="Y148" s="2534"/>
      <c r="Z148" s="1835"/>
      <c r="AA148" s="1801">
        <v>1</v>
      </c>
      <c r="AB148" s="1187" t="s">
        <v>1114</v>
      </c>
      <c r="AC148" s="1177">
        <v>19904.04</v>
      </c>
      <c r="AD148" s="1187" t="str">
        <f>AB148</f>
        <v>  За счет платы за технологическое присоединение</v>
      </c>
      <c r="AE148" s="1177">
        <v>0</v>
      </c>
      <c r="AF148" s="2527"/>
      <c r="AG148" s="2528"/>
      <c r="AH148" s="2528"/>
      <c r="AI148" s="2734"/>
      <c r="AJ148" s="2528"/>
      <c r="AK148" s="2528"/>
      <c r="AL148" s="1993"/>
      <c r="AM148" s="1830"/>
      <c r="AN148" s="1830"/>
      <c r="AO148" s="1830"/>
      <c r="AP148" s="1830"/>
      <c r="AQ148" s="1830"/>
      <c r="AR148" s="1830"/>
      <c r="AS148" s="1830"/>
      <c r="AT148" s="1830"/>
      <c r="AU148" s="1830"/>
      <c r="AV148" s="1830"/>
      <c r="AW148" s="1830"/>
      <c r="AX148" s="1830"/>
      <c r="AY148" s="1830"/>
      <c r="AZ148" s="1830"/>
      <c r="BA148" s="1830"/>
      <c r="BB148" s="1830"/>
      <c r="BC148" s="1830"/>
      <c r="BD148" s="1830"/>
      <c r="BE148" s="1830"/>
      <c r="BF148" s="1830"/>
      <c r="BG148" s="1643"/>
    </row>
    <row customHeight="1" ht="11.25">
      <c r="A149" s="1174" t="s">
        <v>1040</v>
      </c>
      <c r="B149" s="1174"/>
      <c r="C149" s="1174"/>
      <c r="D149" s="1168"/>
      <c r="E149" s="1178"/>
      <c r="F149" s="1837"/>
      <c r="G149" s="1837"/>
      <c r="H149" s="1837"/>
      <c r="I149" s="1837"/>
      <c r="J149" s="1837"/>
      <c r="K149" s="1837"/>
      <c r="L149" s="1837"/>
      <c r="M149" s="1837"/>
      <c r="N149" s="1837"/>
      <c r="O149" s="1837"/>
      <c r="P149" s="1837"/>
      <c r="Q149" s="1837"/>
      <c r="R149" s="1837"/>
      <c r="S149" s="1837"/>
      <c r="T149" s="1837"/>
      <c r="U149" s="1837"/>
      <c r="V149" s="1837"/>
      <c r="W149" s="1837"/>
      <c r="X149" s="1837"/>
      <c r="Y149" s="1837"/>
      <c r="Z149" s="691" t="s">
        <v>103</v>
      </c>
      <c r="AA149" s="1821" t="s">
        <v>102</v>
      </c>
      <c r="AB149" s="1187" t="s">
        <v>1085</v>
      </c>
      <c r="AC149" s="1177">
        <v>3980.81</v>
      </c>
      <c r="AD149" s="1187" t="str">
        <f>AB149</f>
        <v>  Прочие собственные средства</v>
      </c>
      <c r="AE149" s="1177">
        <v>0</v>
      </c>
      <c r="AF149" s="2094"/>
      <c r="AG149" s="1766"/>
      <c r="AH149" s="1766"/>
      <c r="AI149" s="2740"/>
      <c r="AJ149" s="1766"/>
      <c r="AK149" s="1992"/>
      <c r="AL149" s="1993"/>
      <c r="AM149" s="1830"/>
      <c r="AN149" s="1830"/>
      <c r="AO149" s="1830"/>
      <c r="AP149" s="1830"/>
      <c r="AQ149" s="1830"/>
      <c r="AR149" s="1830"/>
      <c r="AS149" s="1830"/>
      <c r="AT149" s="1830"/>
      <c r="AU149" s="1830"/>
      <c r="AV149" s="1830"/>
      <c r="AW149" s="1830"/>
      <c r="AX149" s="1830"/>
      <c r="AY149" s="1830"/>
      <c r="AZ149" s="1830"/>
      <c r="BA149" s="1830"/>
      <c r="BB149" s="1830"/>
      <c r="BC149" s="1830"/>
      <c r="BD149" s="1830"/>
      <c r="BE149" s="1830"/>
      <c r="BF149" s="1830"/>
      <c r="BG149" s="1643"/>
    </row>
    <row customHeight="1" ht="11.25">
      <c r="A150" s="1174" t="s">
        <v>1040</v>
      </c>
      <c r="B150" s="1174"/>
      <c r="C150" s="1174"/>
      <c r="D150" s="1168"/>
      <c r="E150" s="1178"/>
      <c r="F150" s="1836"/>
      <c r="G150" s="1837"/>
      <c r="H150" s="2536" t="s">
        <v>1139</v>
      </c>
      <c r="I150" s="2537"/>
      <c r="J150" s="2506"/>
      <c r="K150" s="2538"/>
      <c r="L150" s="2128"/>
      <c r="M150" s="2129"/>
      <c r="N150" s="2529"/>
      <c r="O150" s="2530"/>
      <c r="P150" s="2533"/>
      <c r="Q150" s="2735"/>
      <c r="R150" s="2534"/>
      <c r="S150" s="2535"/>
      <c r="T150" s="2534"/>
      <c r="U150" s="2534"/>
      <c r="V150" s="2534"/>
      <c r="W150" s="2534"/>
      <c r="X150" s="2534"/>
      <c r="Y150" s="2534"/>
      <c r="Z150" s="1183"/>
      <c r="AA150" s="1184"/>
      <c r="AB150" s="1249" t="s">
        <v>1086</v>
      </c>
      <c r="AC150" s="1188"/>
      <c r="AD150" s="1188"/>
      <c r="AE150" s="1190"/>
      <c r="AF150" s="2527"/>
      <c r="AG150" s="2528"/>
      <c r="AH150" s="2528"/>
      <c r="AI150" s="2734"/>
      <c r="AJ150" s="2528"/>
      <c r="AK150" s="2528"/>
      <c r="AL150" s="1993"/>
      <c r="AM150" s="1830"/>
      <c r="AN150" s="1830"/>
      <c r="AO150" s="1830"/>
      <c r="AP150" s="1830"/>
      <c r="AQ150" s="1830"/>
      <c r="AR150" s="1830"/>
      <c r="AS150" s="1830"/>
      <c r="AT150" s="1830"/>
      <c r="AU150" s="1830"/>
      <c r="AV150" s="1830"/>
      <c r="AW150" s="1830"/>
      <c r="AX150" s="1830"/>
      <c r="AY150" s="1830"/>
      <c r="AZ150" s="1830"/>
      <c r="BA150" s="1830"/>
      <c r="BB150" s="1830"/>
      <c r="BC150" s="1830"/>
      <c r="BD150" s="1830"/>
      <c r="BE150" s="1830"/>
      <c r="BF150" s="1830"/>
      <c r="BG150" s="1643"/>
    </row>
    <row customHeight="1" ht="11.25">
      <c r="A151" s="1174" t="s">
        <v>1040</v>
      </c>
      <c r="B151" s="1174"/>
      <c r="C151" s="1174"/>
      <c r="D151" s="1168"/>
      <c r="E151" s="1178"/>
      <c r="F151" s="1836"/>
      <c r="G151" s="1837"/>
      <c r="H151" s="2536" t="s">
        <v>1139</v>
      </c>
      <c r="I151" s="2537"/>
      <c r="J151" s="2506"/>
      <c r="K151" s="2538"/>
      <c r="L151" s="2128"/>
      <c r="M151" s="2129"/>
      <c r="N151" s="1183"/>
      <c r="O151" s="1184"/>
      <c r="P151" s="1176" t="s">
        <v>1087</v>
      </c>
      <c r="Q151" s="1184"/>
      <c r="R151" s="1184"/>
      <c r="S151" s="1184"/>
      <c r="T151" s="1184"/>
      <c r="U151" s="1184"/>
      <c r="V151" s="1184"/>
      <c r="W151" s="1184"/>
      <c r="X151" s="1184"/>
      <c r="Y151" s="1184"/>
      <c r="Z151" s="1184"/>
      <c r="AA151" s="1184"/>
      <c r="AB151" s="1184"/>
      <c r="AC151" s="1184"/>
      <c r="AD151" s="1184"/>
      <c r="AE151" s="1191"/>
      <c r="AF151" s="2527"/>
      <c r="AG151" s="2528"/>
      <c r="AH151" s="2528"/>
      <c r="AI151" s="2734"/>
      <c r="AJ151" s="2528"/>
      <c r="AK151" s="2528"/>
      <c r="AL151" s="1993"/>
      <c r="AM151" s="1830"/>
      <c r="AN151" s="1830"/>
      <c r="AO151" s="1830"/>
      <c r="AP151" s="1830"/>
      <c r="AQ151" s="1830"/>
      <c r="AR151" s="1830"/>
      <c r="AS151" s="1830"/>
      <c r="AT151" s="1830"/>
      <c r="AU151" s="1830"/>
      <c r="AV151" s="1830"/>
      <c r="AW151" s="1830"/>
      <c r="AX151" s="1830"/>
      <c r="AY151" s="1830"/>
      <c r="AZ151" s="1830"/>
      <c r="BA151" s="1830"/>
      <c r="BB151" s="1830"/>
      <c r="BC151" s="1830"/>
      <c r="BD151" s="1830"/>
      <c r="BE151" s="1830"/>
      <c r="BF151" s="1830"/>
      <c r="BG151" s="1643"/>
    </row>
    <row customHeight="1" ht="11.25">
      <c r="A152" s="1174" t="s">
        <v>1040</v>
      </c>
      <c r="B152" s="1174" t="s">
        <v>1119</v>
      </c>
      <c r="C152" s="1174"/>
      <c r="D152" s="1168"/>
      <c r="E152" s="1178"/>
      <c r="F152" s="1836"/>
      <c r="G152" s="691" t="s">
        <v>103</v>
      </c>
      <c r="H152" s="2536" t="s">
        <v>1143</v>
      </c>
      <c r="I152" s="2537" t="s">
        <v>1121</v>
      </c>
      <c r="J152" s="2506" t="s">
        <v>1125</v>
      </c>
      <c r="K152" s="2538" t="s">
        <v>1144</v>
      </c>
      <c r="L152" s="2128" t="s">
        <v>19</v>
      </c>
      <c r="M152" s="2129"/>
      <c r="N152" s="1991"/>
      <c r="O152" s="1185" t="s">
        <v>393</v>
      </c>
      <c r="P152" s="1186"/>
      <c r="Q152" s="1186"/>
      <c r="R152" s="1186"/>
      <c r="S152" s="1186"/>
      <c r="T152" s="1186"/>
      <c r="U152" s="1186"/>
      <c r="V152" s="1186"/>
      <c r="W152" s="1186"/>
      <c r="X152" s="1186"/>
      <c r="Y152" s="1186"/>
      <c r="Z152" s="1186"/>
      <c r="AA152" s="1186"/>
      <c r="AB152" s="1186"/>
      <c r="AC152" s="1186"/>
      <c r="AD152" s="1186"/>
      <c r="AE152" s="1186"/>
      <c r="AF152" s="2527">
        <v>1</v>
      </c>
      <c r="AG152" s="2528" t="s">
        <v>1076</v>
      </c>
      <c r="AH152" s="2528" t="s">
        <v>1091</v>
      </c>
      <c r="AI152" s="2527">
        <v>1</v>
      </c>
      <c r="AJ152" s="2528" t="s">
        <v>1105</v>
      </c>
      <c r="AK152" s="2528" t="s">
        <v>1091</v>
      </c>
      <c r="AL152" s="1993"/>
      <c r="AM152" s="1830"/>
      <c r="AN152" s="1830"/>
      <c r="AO152" s="1830"/>
      <c r="AP152" s="1830"/>
      <c r="AQ152" s="1830"/>
      <c r="AR152" s="1830"/>
      <c r="AS152" s="1830"/>
      <c r="AT152" s="1830"/>
      <c r="AU152" s="1830"/>
      <c r="AV152" s="1830"/>
      <c r="AW152" s="1830"/>
      <c r="AX152" s="1830"/>
      <c r="AY152" s="1830"/>
      <c r="AZ152" s="1830"/>
      <c r="BA152" s="1830"/>
      <c r="BB152" s="1830"/>
      <c r="BC152" s="1830"/>
      <c r="BD152" s="1830"/>
      <c r="BE152" s="1830"/>
      <c r="BF152" s="1830"/>
      <c r="BG152" s="1643"/>
    </row>
    <row customHeight="1" ht="11.25">
      <c r="A153" s="1174" t="s">
        <v>1040</v>
      </c>
      <c r="B153" s="1174"/>
      <c r="C153" s="1174"/>
      <c r="D153" s="1168"/>
      <c r="E153" s="1178"/>
      <c r="F153" s="1836"/>
      <c r="G153" s="1837"/>
      <c r="H153" s="2536" t="s">
        <v>1141</v>
      </c>
      <c r="I153" s="2537"/>
      <c r="J153" s="2506"/>
      <c r="K153" s="2538"/>
      <c r="L153" s="2128"/>
      <c r="M153" s="2129"/>
      <c r="N153" s="2529"/>
      <c r="O153" s="2530">
        <v>1</v>
      </c>
      <c r="P153" s="2531" t="s">
        <v>61</v>
      </c>
      <c r="Q153" s="2735" t="s">
        <v>1079</v>
      </c>
      <c r="R153" s="2736" t="s">
        <v>1080</v>
      </c>
      <c r="S153" s="2736" t="s">
        <v>99</v>
      </c>
      <c r="T153" s="2736" t="s">
        <v>99</v>
      </c>
      <c r="U153" s="2736" t="s">
        <v>100</v>
      </c>
      <c r="V153" s="2736" t="s">
        <v>1081</v>
      </c>
      <c r="W153" s="2736" t="s">
        <v>1082</v>
      </c>
      <c r="X153" s="2736" t="s">
        <v>1083</v>
      </c>
      <c r="Y153" s="2736" t="s">
        <v>1084</v>
      </c>
      <c r="Z153" s="1183"/>
      <c r="AA153" s="1184"/>
      <c r="AB153" s="1184"/>
      <c r="AC153" s="1188"/>
      <c r="AD153" s="1188"/>
      <c r="AE153" s="1189"/>
      <c r="AF153" s="2527"/>
      <c r="AG153" s="2528"/>
      <c r="AH153" s="2528"/>
      <c r="AI153" s="2527"/>
      <c r="AJ153" s="2528"/>
      <c r="AK153" s="2528"/>
      <c r="AL153" s="1993"/>
      <c r="AM153" s="1830"/>
      <c r="AN153" s="1830"/>
      <c r="AO153" s="1830"/>
      <c r="AP153" s="1830"/>
      <c r="AQ153" s="1830"/>
      <c r="AR153" s="1830"/>
      <c r="AS153" s="1830"/>
      <c r="AT153" s="1830"/>
      <c r="AU153" s="1830"/>
      <c r="AV153" s="1830"/>
      <c r="AW153" s="1830"/>
      <c r="AX153" s="1830"/>
      <c r="AY153" s="1830"/>
      <c r="AZ153" s="1830"/>
      <c r="BA153" s="1830"/>
      <c r="BB153" s="1830"/>
      <c r="BC153" s="1830"/>
      <c r="BD153" s="1830"/>
      <c r="BE153" s="1830"/>
      <c r="BF153" s="1830"/>
      <c r="BG153" s="1643"/>
    </row>
    <row customHeight="1" ht="11.25">
      <c r="A154" s="1174" t="s">
        <v>1040</v>
      </c>
      <c r="B154" s="1174"/>
      <c r="C154" s="1174"/>
      <c r="D154" s="1168"/>
      <c r="E154" s="1178"/>
      <c r="F154" s="1836"/>
      <c r="G154" s="1837"/>
      <c r="H154" s="2536" t="s">
        <v>1141</v>
      </c>
      <c r="I154" s="2537"/>
      <c r="J154" s="2506"/>
      <c r="K154" s="2538"/>
      <c r="L154" s="2128"/>
      <c r="M154" s="2129"/>
      <c r="N154" s="2529"/>
      <c r="O154" s="2530"/>
      <c r="P154" s="2532"/>
      <c r="Q154" s="2735"/>
      <c r="R154" s="2534"/>
      <c r="S154" s="2535"/>
      <c r="T154" s="2534"/>
      <c r="U154" s="2534"/>
      <c r="V154" s="2534"/>
      <c r="W154" s="2534"/>
      <c r="X154" s="2534"/>
      <c r="Y154" s="2534"/>
      <c r="Z154" s="1835"/>
      <c r="AA154" s="1801">
        <v>1</v>
      </c>
      <c r="AB154" s="1187" t="s">
        <v>1114</v>
      </c>
      <c r="AC154" s="1177">
        <v>619.91</v>
      </c>
      <c r="AD154" s="1187" t="str">
        <f>AB154</f>
        <v>  За счет платы за технологическое присоединение</v>
      </c>
      <c r="AE154" s="1177">
        <v>619.9097</v>
      </c>
      <c r="AF154" s="2527"/>
      <c r="AG154" s="2528"/>
      <c r="AH154" s="2528"/>
      <c r="AI154" s="2527"/>
      <c r="AJ154" s="2528"/>
      <c r="AK154" s="2528"/>
      <c r="AL154" s="1993"/>
      <c r="AM154" s="1830"/>
      <c r="AN154" s="1830"/>
      <c r="AO154" s="1830"/>
      <c r="AP154" s="1830"/>
      <c r="AQ154" s="1830"/>
      <c r="AR154" s="1830"/>
      <c r="AS154" s="1830"/>
      <c r="AT154" s="1830"/>
      <c r="AU154" s="1830"/>
      <c r="AV154" s="1830"/>
      <c r="AW154" s="1830"/>
      <c r="AX154" s="1830"/>
      <c r="AY154" s="1830"/>
      <c r="AZ154" s="1830"/>
      <c r="BA154" s="1830"/>
      <c r="BB154" s="1830"/>
      <c r="BC154" s="1830"/>
      <c r="BD154" s="1830"/>
      <c r="BE154" s="1830"/>
      <c r="BF154" s="1830"/>
      <c r="BG154" s="1643"/>
    </row>
    <row customHeight="1" ht="11.25">
      <c r="A155" s="1174" t="s">
        <v>1040</v>
      </c>
      <c r="B155" s="1174"/>
      <c r="C155" s="1174"/>
      <c r="D155" s="1168"/>
      <c r="E155" s="1178"/>
      <c r="F155" s="1837"/>
      <c r="G155" s="1837"/>
      <c r="H155" s="1837"/>
      <c r="I155" s="1837"/>
      <c r="J155" s="1837"/>
      <c r="K155" s="1837"/>
      <c r="L155" s="1837"/>
      <c r="M155" s="1837"/>
      <c r="N155" s="1837"/>
      <c r="O155" s="1837"/>
      <c r="P155" s="1837"/>
      <c r="Q155" s="1837"/>
      <c r="R155" s="1837"/>
      <c r="S155" s="1837"/>
      <c r="T155" s="1837"/>
      <c r="U155" s="1837"/>
      <c r="V155" s="1837"/>
      <c r="W155" s="1837"/>
      <c r="X155" s="1837"/>
      <c r="Y155" s="1837"/>
      <c r="Z155" s="691" t="s">
        <v>103</v>
      </c>
      <c r="AA155" s="1821" t="s">
        <v>102</v>
      </c>
      <c r="AB155" s="1187" t="s">
        <v>1085</v>
      </c>
      <c r="AC155" s="1177">
        <v>123.98</v>
      </c>
      <c r="AD155" s="1187" t="str">
        <f>AB155</f>
        <v>  Прочие собственные средства</v>
      </c>
      <c r="AE155" s="1177">
        <v>123.98194</v>
      </c>
      <c r="AF155" s="2094"/>
      <c r="AG155" s="1766"/>
      <c r="AH155" s="1766"/>
      <c r="AI155" s="2094"/>
      <c r="AJ155" s="1766"/>
      <c r="AK155" s="1992"/>
      <c r="AL155" s="1993"/>
      <c r="AM155" s="1830"/>
      <c r="AN155" s="1830"/>
      <c r="AO155" s="1830"/>
      <c r="AP155" s="1830"/>
      <c r="AQ155" s="1830"/>
      <c r="AR155" s="1830"/>
      <c r="AS155" s="1830"/>
      <c r="AT155" s="1830"/>
      <c r="AU155" s="1830"/>
      <c r="AV155" s="1830"/>
      <c r="AW155" s="1830"/>
      <c r="AX155" s="1830"/>
      <c r="AY155" s="1830"/>
      <c r="AZ155" s="1830"/>
      <c r="BA155" s="1830"/>
      <c r="BB155" s="1830"/>
      <c r="BC155" s="1830"/>
      <c r="BD155" s="1830"/>
      <c r="BE155" s="1830"/>
      <c r="BF155" s="1830"/>
      <c r="BG155" s="1643"/>
    </row>
    <row customHeight="1" ht="11.25">
      <c r="A156" s="1174" t="s">
        <v>1040</v>
      </c>
      <c r="B156" s="1174"/>
      <c r="C156" s="1174"/>
      <c r="D156" s="1168"/>
      <c r="E156" s="1178"/>
      <c r="F156" s="1836"/>
      <c r="G156" s="1837"/>
      <c r="H156" s="2536" t="s">
        <v>1141</v>
      </c>
      <c r="I156" s="2537"/>
      <c r="J156" s="2506"/>
      <c r="K156" s="2538"/>
      <c r="L156" s="2128"/>
      <c r="M156" s="2129"/>
      <c r="N156" s="2529"/>
      <c r="O156" s="2530"/>
      <c r="P156" s="2533"/>
      <c r="Q156" s="2735"/>
      <c r="R156" s="2534"/>
      <c r="S156" s="2535"/>
      <c r="T156" s="2534"/>
      <c r="U156" s="2534"/>
      <c r="V156" s="2534"/>
      <c r="W156" s="2534"/>
      <c r="X156" s="2534"/>
      <c r="Y156" s="2534"/>
      <c r="Z156" s="1183"/>
      <c r="AA156" s="1184"/>
      <c r="AB156" s="1249" t="s">
        <v>1086</v>
      </c>
      <c r="AC156" s="1188"/>
      <c r="AD156" s="1188"/>
      <c r="AE156" s="1190"/>
      <c r="AF156" s="2527"/>
      <c r="AG156" s="2528"/>
      <c r="AH156" s="2528"/>
      <c r="AI156" s="2527"/>
      <c r="AJ156" s="2528"/>
      <c r="AK156" s="2528"/>
      <c r="AL156" s="1993"/>
      <c r="AM156" s="1830"/>
      <c r="AN156" s="1830"/>
      <c r="AO156" s="1830"/>
      <c r="AP156" s="1830"/>
      <c r="AQ156" s="1830"/>
      <c r="AR156" s="1830"/>
      <c r="AS156" s="1830"/>
      <c r="AT156" s="1830"/>
      <c r="AU156" s="1830"/>
      <c r="AV156" s="1830"/>
      <c r="AW156" s="1830"/>
      <c r="AX156" s="1830"/>
      <c r="AY156" s="1830"/>
      <c r="AZ156" s="1830"/>
      <c r="BA156" s="1830"/>
      <c r="BB156" s="1830"/>
      <c r="BC156" s="1830"/>
      <c r="BD156" s="1830"/>
      <c r="BE156" s="1830"/>
      <c r="BF156" s="1830"/>
      <c r="BG156" s="1643"/>
    </row>
    <row customHeight="1" ht="11.25">
      <c r="A157" s="1174" t="s">
        <v>1040</v>
      </c>
      <c r="B157" s="1174"/>
      <c r="C157" s="1174"/>
      <c r="D157" s="1168"/>
      <c r="E157" s="1178"/>
      <c r="F157" s="1836"/>
      <c r="G157" s="1837"/>
      <c r="H157" s="2536" t="s">
        <v>1141</v>
      </c>
      <c r="I157" s="2537"/>
      <c r="J157" s="2506"/>
      <c r="K157" s="2538"/>
      <c r="L157" s="2128"/>
      <c r="M157" s="2129"/>
      <c r="N157" s="1183"/>
      <c r="O157" s="1184"/>
      <c r="P157" s="1176" t="s">
        <v>1087</v>
      </c>
      <c r="Q157" s="1184"/>
      <c r="R157" s="1184"/>
      <c r="S157" s="1184"/>
      <c r="T157" s="1184"/>
      <c r="U157" s="1184"/>
      <c r="V157" s="1184"/>
      <c r="W157" s="1184"/>
      <c r="X157" s="1184"/>
      <c r="Y157" s="1184"/>
      <c r="Z157" s="1184"/>
      <c r="AA157" s="1184"/>
      <c r="AB157" s="1184"/>
      <c r="AC157" s="1184"/>
      <c r="AD157" s="1184"/>
      <c r="AE157" s="1191"/>
      <c r="AF157" s="2527"/>
      <c r="AG157" s="2528"/>
      <c r="AH157" s="2528"/>
      <c r="AI157" s="2527"/>
      <c r="AJ157" s="2528"/>
      <c r="AK157" s="2528"/>
      <c r="AL157" s="1993"/>
      <c r="AM157" s="1830"/>
      <c r="AN157" s="1830"/>
      <c r="AO157" s="1830"/>
      <c r="AP157" s="1830"/>
      <c r="AQ157" s="1830"/>
      <c r="AR157" s="1830"/>
      <c r="AS157" s="1830"/>
      <c r="AT157" s="1830"/>
      <c r="AU157" s="1830"/>
      <c r="AV157" s="1830"/>
      <c r="AW157" s="1830"/>
      <c r="AX157" s="1830"/>
      <c r="AY157" s="1830"/>
      <c r="AZ157" s="1830"/>
      <c r="BA157" s="1830"/>
      <c r="BB157" s="1830"/>
      <c r="BC157" s="1830"/>
      <c r="BD157" s="1830"/>
      <c r="BE157" s="1830"/>
      <c r="BF157" s="1830"/>
      <c r="BG157" s="1643"/>
    </row>
    <row customHeight="1" ht="11.25">
      <c r="A158" s="1174" t="s">
        <v>1040</v>
      </c>
      <c r="B158" s="1174" t="s">
        <v>1119</v>
      </c>
      <c r="C158" s="1174"/>
      <c r="D158" s="1168"/>
      <c r="E158" s="1178"/>
      <c r="F158" s="1836"/>
      <c r="G158" s="691" t="s">
        <v>103</v>
      </c>
      <c r="H158" s="2536" t="s">
        <v>1145</v>
      </c>
      <c r="I158" s="2537" t="s">
        <v>1121</v>
      </c>
      <c r="J158" s="2506" t="s">
        <v>1125</v>
      </c>
      <c r="K158" s="2538" t="s">
        <v>1146</v>
      </c>
      <c r="L158" s="2128" t="s">
        <v>19</v>
      </c>
      <c r="M158" s="2129"/>
      <c r="N158" s="1991"/>
      <c r="O158" s="1185" t="s">
        <v>393</v>
      </c>
      <c r="P158" s="1186"/>
      <c r="Q158" s="1186"/>
      <c r="R158" s="1186"/>
      <c r="S158" s="1186"/>
      <c r="T158" s="1186"/>
      <c r="U158" s="1186"/>
      <c r="V158" s="1186"/>
      <c r="W158" s="1186"/>
      <c r="X158" s="1186"/>
      <c r="Y158" s="1186"/>
      <c r="Z158" s="1186"/>
      <c r="AA158" s="1186"/>
      <c r="AB158" s="1186"/>
      <c r="AC158" s="1186"/>
      <c r="AD158" s="1186"/>
      <c r="AE158" s="1186"/>
      <c r="AF158" s="2527">
        <v>1</v>
      </c>
      <c r="AG158" s="2528" t="s">
        <v>1076</v>
      </c>
      <c r="AH158" s="2528" t="s">
        <v>1091</v>
      </c>
      <c r="AI158" s="2527">
        <v>1</v>
      </c>
      <c r="AJ158" s="2528" t="s">
        <v>1147</v>
      </c>
      <c r="AK158" s="2528" t="s">
        <v>1091</v>
      </c>
      <c r="AL158" s="1993"/>
      <c r="AM158" s="1830"/>
      <c r="AN158" s="1830"/>
      <c r="AO158" s="1830"/>
      <c r="AP158" s="1830"/>
      <c r="AQ158" s="1830"/>
      <c r="AR158" s="1830"/>
      <c r="AS158" s="1830"/>
      <c r="AT158" s="1830"/>
      <c r="AU158" s="1830"/>
      <c r="AV158" s="1830"/>
      <c r="AW158" s="1830"/>
      <c r="AX158" s="1830"/>
      <c r="AY158" s="1830"/>
      <c r="AZ158" s="1830"/>
      <c r="BA158" s="1830"/>
      <c r="BB158" s="1830"/>
      <c r="BC158" s="1830"/>
      <c r="BD158" s="1830"/>
      <c r="BE158" s="1830"/>
      <c r="BF158" s="1830"/>
      <c r="BG158" s="1643"/>
    </row>
    <row customHeight="1" ht="11.25">
      <c r="A159" s="1174" t="s">
        <v>1040</v>
      </c>
      <c r="B159" s="1174"/>
      <c r="C159" s="1174"/>
      <c r="D159" s="1168"/>
      <c r="E159" s="1178"/>
      <c r="F159" s="1836"/>
      <c r="G159" s="1837"/>
      <c r="H159" s="2536" t="s">
        <v>1143</v>
      </c>
      <c r="I159" s="2537"/>
      <c r="J159" s="2506"/>
      <c r="K159" s="2538"/>
      <c r="L159" s="2128"/>
      <c r="M159" s="2129"/>
      <c r="N159" s="2529"/>
      <c r="O159" s="2530">
        <v>1</v>
      </c>
      <c r="P159" s="2531" t="s">
        <v>61</v>
      </c>
      <c r="Q159" s="2735" t="s">
        <v>1079</v>
      </c>
      <c r="R159" s="2736" t="s">
        <v>1080</v>
      </c>
      <c r="S159" s="2736" t="s">
        <v>99</v>
      </c>
      <c r="T159" s="2736" t="s">
        <v>99</v>
      </c>
      <c r="U159" s="2736" t="s">
        <v>100</v>
      </c>
      <c r="V159" s="2736" t="s">
        <v>1081</v>
      </c>
      <c r="W159" s="2736" t="s">
        <v>1082</v>
      </c>
      <c r="X159" s="2736" t="s">
        <v>1083</v>
      </c>
      <c r="Y159" s="2736" t="s">
        <v>1084</v>
      </c>
      <c r="Z159" s="1183"/>
      <c r="AA159" s="1184"/>
      <c r="AB159" s="1184"/>
      <c r="AC159" s="1188"/>
      <c r="AD159" s="1188"/>
      <c r="AE159" s="1189"/>
      <c r="AF159" s="2527"/>
      <c r="AG159" s="2528"/>
      <c r="AH159" s="2528"/>
      <c r="AI159" s="2527"/>
      <c r="AJ159" s="2528"/>
      <c r="AK159" s="2528"/>
      <c r="AL159" s="1993"/>
      <c r="AM159" s="1830"/>
      <c r="AN159" s="1830"/>
      <c r="AO159" s="1830"/>
      <c r="AP159" s="1830"/>
      <c r="AQ159" s="1830"/>
      <c r="AR159" s="1830"/>
      <c r="AS159" s="1830"/>
      <c r="AT159" s="1830"/>
      <c r="AU159" s="1830"/>
      <c r="AV159" s="1830"/>
      <c r="AW159" s="1830"/>
      <c r="AX159" s="1830"/>
      <c r="AY159" s="1830"/>
      <c r="AZ159" s="1830"/>
      <c r="BA159" s="1830"/>
      <c r="BB159" s="1830"/>
      <c r="BC159" s="1830"/>
      <c r="BD159" s="1830"/>
      <c r="BE159" s="1830"/>
      <c r="BF159" s="1830"/>
      <c r="BG159" s="1643"/>
    </row>
    <row customHeight="1" ht="11.25">
      <c r="A160" s="1174" t="s">
        <v>1040</v>
      </c>
      <c r="B160" s="1174"/>
      <c r="C160" s="1174"/>
      <c r="D160" s="1168"/>
      <c r="E160" s="1178"/>
      <c r="F160" s="1836"/>
      <c r="G160" s="1837"/>
      <c r="H160" s="2536" t="s">
        <v>1143</v>
      </c>
      <c r="I160" s="2537"/>
      <c r="J160" s="2506"/>
      <c r="K160" s="2538"/>
      <c r="L160" s="2128"/>
      <c r="M160" s="2129"/>
      <c r="N160" s="2529"/>
      <c r="O160" s="2530"/>
      <c r="P160" s="2532"/>
      <c r="Q160" s="2735"/>
      <c r="R160" s="2534"/>
      <c r="S160" s="2535"/>
      <c r="T160" s="2534"/>
      <c r="U160" s="2534"/>
      <c r="V160" s="2534"/>
      <c r="W160" s="2534"/>
      <c r="X160" s="2534"/>
      <c r="Y160" s="2534"/>
      <c r="Z160" s="1835"/>
      <c r="AA160" s="1801">
        <v>1</v>
      </c>
      <c r="AB160" s="1187" t="s">
        <v>1114</v>
      </c>
      <c r="AC160" s="1177">
        <v>479.19</v>
      </c>
      <c r="AD160" s="1187" t="str">
        <f>AB160</f>
        <v>  За счет платы за технологическое присоединение</v>
      </c>
      <c r="AE160" s="1177">
        <v>479.194</v>
      </c>
      <c r="AF160" s="2527"/>
      <c r="AG160" s="2528"/>
      <c r="AH160" s="2528"/>
      <c r="AI160" s="2527"/>
      <c r="AJ160" s="2528"/>
      <c r="AK160" s="2528"/>
      <c r="AL160" s="1993"/>
      <c r="AM160" s="1830"/>
      <c r="AN160" s="1830"/>
      <c r="AO160" s="1830"/>
      <c r="AP160" s="1830"/>
      <c r="AQ160" s="1830"/>
      <c r="AR160" s="1830"/>
      <c r="AS160" s="1830"/>
      <c r="AT160" s="1830"/>
      <c r="AU160" s="1830"/>
      <c r="AV160" s="1830"/>
      <c r="AW160" s="1830"/>
      <c r="AX160" s="1830"/>
      <c r="AY160" s="1830"/>
      <c r="AZ160" s="1830"/>
      <c r="BA160" s="1830"/>
      <c r="BB160" s="1830"/>
      <c r="BC160" s="1830"/>
      <c r="BD160" s="1830"/>
      <c r="BE160" s="1830"/>
      <c r="BF160" s="1830"/>
      <c r="BG160" s="1643"/>
    </row>
    <row customHeight="1" ht="11.25">
      <c r="A161" s="1174" t="s">
        <v>1040</v>
      </c>
      <c r="B161" s="1174"/>
      <c r="C161" s="1174"/>
      <c r="D161" s="1168"/>
      <c r="E161" s="1178"/>
      <c r="F161" s="1837"/>
      <c r="G161" s="1837"/>
      <c r="H161" s="1837"/>
      <c r="I161" s="1837"/>
      <c r="J161" s="1837"/>
      <c r="K161" s="1837"/>
      <c r="L161" s="1837"/>
      <c r="M161" s="1837"/>
      <c r="N161" s="1837"/>
      <c r="O161" s="1837"/>
      <c r="P161" s="1837"/>
      <c r="Q161" s="1837"/>
      <c r="R161" s="1837"/>
      <c r="S161" s="1837"/>
      <c r="T161" s="1837"/>
      <c r="U161" s="1837"/>
      <c r="V161" s="1837"/>
      <c r="W161" s="1837"/>
      <c r="X161" s="1837"/>
      <c r="Y161" s="1837"/>
      <c r="Z161" s="691" t="s">
        <v>103</v>
      </c>
      <c r="AA161" s="1821" t="s">
        <v>102</v>
      </c>
      <c r="AB161" s="1187" t="s">
        <v>1085</v>
      </c>
      <c r="AC161" s="1177">
        <v>95.84</v>
      </c>
      <c r="AD161" s="1187" t="str">
        <f>AB161</f>
        <v>  Прочие собственные средства</v>
      </c>
      <c r="AE161" s="1177">
        <v>95.8388</v>
      </c>
      <c r="AF161" s="2094"/>
      <c r="AG161" s="1766"/>
      <c r="AH161" s="1766"/>
      <c r="AI161" s="2094"/>
      <c r="AJ161" s="1766"/>
      <c r="AK161" s="1992"/>
      <c r="AL161" s="1993"/>
      <c r="AM161" s="1830"/>
      <c r="AN161" s="1830"/>
      <c r="AO161" s="1830"/>
      <c r="AP161" s="1830"/>
      <c r="AQ161" s="1830"/>
      <c r="AR161" s="1830"/>
      <c r="AS161" s="1830"/>
      <c r="AT161" s="1830"/>
      <c r="AU161" s="1830"/>
      <c r="AV161" s="1830"/>
      <c r="AW161" s="1830"/>
      <c r="AX161" s="1830"/>
      <c r="AY161" s="1830"/>
      <c r="AZ161" s="1830"/>
      <c r="BA161" s="1830"/>
      <c r="BB161" s="1830"/>
      <c r="BC161" s="1830"/>
      <c r="BD161" s="1830"/>
      <c r="BE161" s="1830"/>
      <c r="BF161" s="1830"/>
      <c r="BG161" s="1643"/>
    </row>
    <row customHeight="1" ht="11.25">
      <c r="A162" s="1174" t="s">
        <v>1040</v>
      </c>
      <c r="B162" s="1174"/>
      <c r="C162" s="1174"/>
      <c r="D162" s="1168"/>
      <c r="E162" s="1178"/>
      <c r="F162" s="1836"/>
      <c r="G162" s="1837"/>
      <c r="H162" s="2536" t="s">
        <v>1143</v>
      </c>
      <c r="I162" s="2537"/>
      <c r="J162" s="2506"/>
      <c r="K162" s="2538"/>
      <c r="L162" s="2128"/>
      <c r="M162" s="2129"/>
      <c r="N162" s="2529"/>
      <c r="O162" s="2530"/>
      <c r="P162" s="2533"/>
      <c r="Q162" s="2735"/>
      <c r="R162" s="2534"/>
      <c r="S162" s="2535"/>
      <c r="T162" s="2534"/>
      <c r="U162" s="2534"/>
      <c r="V162" s="2534"/>
      <c r="W162" s="2534"/>
      <c r="X162" s="2534"/>
      <c r="Y162" s="2534"/>
      <c r="Z162" s="1183"/>
      <c r="AA162" s="1184"/>
      <c r="AB162" s="1249" t="s">
        <v>1086</v>
      </c>
      <c r="AC162" s="1188"/>
      <c r="AD162" s="1188"/>
      <c r="AE162" s="1190"/>
      <c r="AF162" s="2527"/>
      <c r="AG162" s="2528"/>
      <c r="AH162" s="2528"/>
      <c r="AI162" s="2527"/>
      <c r="AJ162" s="2528"/>
      <c r="AK162" s="2528"/>
      <c r="AL162" s="1993"/>
      <c r="AM162" s="1830"/>
      <c r="AN162" s="1830"/>
      <c r="AO162" s="1830"/>
      <c r="AP162" s="1830"/>
      <c r="AQ162" s="1830"/>
      <c r="AR162" s="1830"/>
      <c r="AS162" s="1830"/>
      <c r="AT162" s="1830"/>
      <c r="AU162" s="1830"/>
      <c r="AV162" s="1830"/>
      <c r="AW162" s="1830"/>
      <c r="AX162" s="1830"/>
      <c r="AY162" s="1830"/>
      <c r="AZ162" s="1830"/>
      <c r="BA162" s="1830"/>
      <c r="BB162" s="1830"/>
      <c r="BC162" s="1830"/>
      <c r="BD162" s="1830"/>
      <c r="BE162" s="1830"/>
      <c r="BF162" s="1830"/>
      <c r="BG162" s="1643"/>
    </row>
    <row customHeight="1" ht="11.25">
      <c r="A163" s="1174" t="s">
        <v>1040</v>
      </c>
      <c r="B163" s="1174"/>
      <c r="C163" s="1174"/>
      <c r="D163" s="1168"/>
      <c r="E163" s="1178"/>
      <c r="F163" s="1836"/>
      <c r="G163" s="1837"/>
      <c r="H163" s="2536" t="s">
        <v>1143</v>
      </c>
      <c r="I163" s="2537"/>
      <c r="J163" s="2506"/>
      <c r="K163" s="2538"/>
      <c r="L163" s="2128"/>
      <c r="M163" s="2129"/>
      <c r="N163" s="1183"/>
      <c r="O163" s="1184"/>
      <c r="P163" s="1176" t="s">
        <v>1087</v>
      </c>
      <c r="Q163" s="1184"/>
      <c r="R163" s="1184"/>
      <c r="S163" s="1184"/>
      <c r="T163" s="1184"/>
      <c r="U163" s="1184"/>
      <c r="V163" s="1184"/>
      <c r="W163" s="1184"/>
      <c r="X163" s="1184"/>
      <c r="Y163" s="1184"/>
      <c r="Z163" s="1184"/>
      <c r="AA163" s="1184"/>
      <c r="AB163" s="1184"/>
      <c r="AC163" s="1184"/>
      <c r="AD163" s="1184"/>
      <c r="AE163" s="1191"/>
      <c r="AF163" s="2527"/>
      <c r="AG163" s="2528"/>
      <c r="AH163" s="2528"/>
      <c r="AI163" s="2527"/>
      <c r="AJ163" s="2528"/>
      <c r="AK163" s="2528"/>
      <c r="AL163" s="1993"/>
      <c r="AM163" s="1830"/>
      <c r="AN163" s="1830"/>
      <c r="AO163" s="1830"/>
      <c r="AP163" s="1830"/>
      <c r="AQ163" s="1830"/>
      <c r="AR163" s="1830"/>
      <c r="AS163" s="1830"/>
      <c r="AT163" s="1830"/>
      <c r="AU163" s="1830"/>
      <c r="AV163" s="1830"/>
      <c r="AW163" s="1830"/>
      <c r="AX163" s="1830"/>
      <c r="AY163" s="1830"/>
      <c r="AZ163" s="1830"/>
      <c r="BA163" s="1830"/>
      <c r="BB163" s="1830"/>
      <c r="BC163" s="1830"/>
      <c r="BD163" s="1830"/>
      <c r="BE163" s="1830"/>
      <c r="BF163" s="1830"/>
      <c r="BG163" s="1643"/>
    </row>
    <row customHeight="1" ht="11.25">
      <c r="A164" s="1174" t="s">
        <v>1040</v>
      </c>
      <c r="B164" s="1174" t="s">
        <v>1119</v>
      </c>
      <c r="C164" s="1174"/>
      <c r="D164" s="1168"/>
      <c r="E164" s="1178"/>
      <c r="F164" s="1836"/>
      <c r="G164" s="691" t="s">
        <v>103</v>
      </c>
      <c r="H164" s="2536" t="s">
        <v>1148</v>
      </c>
      <c r="I164" s="2537" t="s">
        <v>1121</v>
      </c>
      <c r="J164" s="2506" t="s">
        <v>1125</v>
      </c>
      <c r="K164" s="2538" t="s">
        <v>1149</v>
      </c>
      <c r="L164" s="2128" t="s">
        <v>19</v>
      </c>
      <c r="M164" s="2129"/>
      <c r="N164" s="1991"/>
      <c r="O164" s="1185" t="s">
        <v>393</v>
      </c>
      <c r="P164" s="1186"/>
      <c r="Q164" s="1186"/>
      <c r="R164" s="1186"/>
      <c r="S164" s="1186"/>
      <c r="T164" s="1186"/>
      <c r="U164" s="1186"/>
      <c r="V164" s="1186"/>
      <c r="W164" s="1186"/>
      <c r="X164" s="1186"/>
      <c r="Y164" s="1186"/>
      <c r="Z164" s="1186"/>
      <c r="AA164" s="1186"/>
      <c r="AB164" s="1186"/>
      <c r="AC164" s="1186"/>
      <c r="AD164" s="1186"/>
      <c r="AE164" s="1186"/>
      <c r="AF164" s="2527">
        <v>1</v>
      </c>
      <c r="AG164" s="2528" t="s">
        <v>1076</v>
      </c>
      <c r="AH164" s="2528" t="s">
        <v>1091</v>
      </c>
      <c r="AI164" s="2734"/>
      <c r="AJ164" s="2528" t="s">
        <v>1132</v>
      </c>
      <c r="AK164" s="2528" t="s">
        <v>1132</v>
      </c>
      <c r="AL164" s="1993"/>
      <c r="AM164" s="1830"/>
      <c r="AN164" s="1830"/>
      <c r="AO164" s="1830"/>
      <c r="AP164" s="1830"/>
      <c r="AQ164" s="1830"/>
      <c r="AR164" s="1830"/>
      <c r="AS164" s="1830"/>
      <c r="AT164" s="1830"/>
      <c r="AU164" s="1830"/>
      <c r="AV164" s="1830"/>
      <c r="AW164" s="1830"/>
      <c r="AX164" s="1830"/>
      <c r="AY164" s="1830"/>
      <c r="AZ164" s="1830"/>
      <c r="BA164" s="1830"/>
      <c r="BB164" s="1830"/>
      <c r="BC164" s="1830"/>
      <c r="BD164" s="1830"/>
      <c r="BE164" s="1830"/>
      <c r="BF164" s="1830"/>
      <c r="BG164" s="1643"/>
    </row>
    <row customHeight="1" ht="11.25">
      <c r="A165" s="1174" t="s">
        <v>1040</v>
      </c>
      <c r="B165" s="1174"/>
      <c r="C165" s="1174"/>
      <c r="D165" s="1168"/>
      <c r="E165" s="1178"/>
      <c r="F165" s="1836"/>
      <c r="G165" s="1837"/>
      <c r="H165" s="2536" t="s">
        <v>1145</v>
      </c>
      <c r="I165" s="2537"/>
      <c r="J165" s="2506"/>
      <c r="K165" s="2538"/>
      <c r="L165" s="2128"/>
      <c r="M165" s="2129"/>
      <c r="N165" s="2529"/>
      <c r="O165" s="2530">
        <v>1</v>
      </c>
      <c r="P165" s="2531" t="s">
        <v>61</v>
      </c>
      <c r="Q165" s="2735" t="s">
        <v>1079</v>
      </c>
      <c r="R165" s="2736" t="s">
        <v>1080</v>
      </c>
      <c r="S165" s="2736" t="s">
        <v>99</v>
      </c>
      <c r="T165" s="2736" t="s">
        <v>99</v>
      </c>
      <c r="U165" s="2736" t="s">
        <v>100</v>
      </c>
      <c r="V165" s="2736" t="s">
        <v>1081</v>
      </c>
      <c r="W165" s="2736" t="s">
        <v>1082</v>
      </c>
      <c r="X165" s="2736" t="s">
        <v>1083</v>
      </c>
      <c r="Y165" s="2736" t="s">
        <v>1084</v>
      </c>
      <c r="Z165" s="1183"/>
      <c r="AA165" s="1184"/>
      <c r="AB165" s="1184"/>
      <c r="AC165" s="1188"/>
      <c r="AD165" s="1188"/>
      <c r="AE165" s="1189"/>
      <c r="AF165" s="2527"/>
      <c r="AG165" s="2528"/>
      <c r="AH165" s="2528"/>
      <c r="AI165" s="2734"/>
      <c r="AJ165" s="2528"/>
      <c r="AK165" s="2528"/>
      <c r="AL165" s="1993"/>
      <c r="AM165" s="1830"/>
      <c r="AN165" s="1830"/>
      <c r="AO165" s="1830"/>
      <c r="AP165" s="1830"/>
      <c r="AQ165" s="1830"/>
      <c r="AR165" s="1830"/>
      <c r="AS165" s="1830"/>
      <c r="AT165" s="1830"/>
      <c r="AU165" s="1830"/>
      <c r="AV165" s="1830"/>
      <c r="AW165" s="1830"/>
      <c r="AX165" s="1830"/>
      <c r="AY165" s="1830"/>
      <c r="AZ165" s="1830"/>
      <c r="BA165" s="1830"/>
      <c r="BB165" s="1830"/>
      <c r="BC165" s="1830"/>
      <c r="BD165" s="1830"/>
      <c r="BE165" s="1830"/>
      <c r="BF165" s="1830"/>
      <c r="BG165" s="1643"/>
    </row>
    <row customHeight="1" ht="11.25">
      <c r="A166" s="1174" t="s">
        <v>1040</v>
      </c>
      <c r="B166" s="1174"/>
      <c r="C166" s="1174"/>
      <c r="D166" s="1168"/>
      <c r="E166" s="1178"/>
      <c r="F166" s="1836"/>
      <c r="G166" s="1837"/>
      <c r="H166" s="2536" t="s">
        <v>1145</v>
      </c>
      <c r="I166" s="2537"/>
      <c r="J166" s="2506"/>
      <c r="K166" s="2538"/>
      <c r="L166" s="2128"/>
      <c r="M166" s="2129"/>
      <c r="N166" s="2529"/>
      <c r="O166" s="2530"/>
      <c r="P166" s="2532"/>
      <c r="Q166" s="2735"/>
      <c r="R166" s="2534"/>
      <c r="S166" s="2535"/>
      <c r="T166" s="2534"/>
      <c r="U166" s="2534"/>
      <c r="V166" s="2534"/>
      <c r="W166" s="2534"/>
      <c r="X166" s="2534"/>
      <c r="Y166" s="2534"/>
      <c r="Z166" s="1835"/>
      <c r="AA166" s="1801">
        <v>1</v>
      </c>
      <c r="AB166" s="1187" t="s">
        <v>1114</v>
      </c>
      <c r="AC166" s="1177">
        <v>4735.69</v>
      </c>
      <c r="AD166" s="1187" t="str">
        <f>AB166</f>
        <v>  За счет платы за технологическое присоединение</v>
      </c>
      <c r="AE166" s="1177">
        <v>0</v>
      </c>
      <c r="AF166" s="2527"/>
      <c r="AG166" s="2528"/>
      <c r="AH166" s="2528"/>
      <c r="AI166" s="2734"/>
      <c r="AJ166" s="2528"/>
      <c r="AK166" s="2528"/>
      <c r="AL166" s="1993"/>
      <c r="AM166" s="1830"/>
      <c r="AN166" s="1830"/>
      <c r="AO166" s="1830"/>
      <c r="AP166" s="1830"/>
      <c r="AQ166" s="1830"/>
      <c r="AR166" s="1830"/>
      <c r="AS166" s="1830"/>
      <c r="AT166" s="1830"/>
      <c r="AU166" s="1830"/>
      <c r="AV166" s="1830"/>
      <c r="AW166" s="1830"/>
      <c r="AX166" s="1830"/>
      <c r="AY166" s="1830"/>
      <c r="AZ166" s="1830"/>
      <c r="BA166" s="1830"/>
      <c r="BB166" s="1830"/>
      <c r="BC166" s="1830"/>
      <c r="BD166" s="1830"/>
      <c r="BE166" s="1830"/>
      <c r="BF166" s="1830"/>
      <c r="BG166" s="1643"/>
    </row>
    <row customHeight="1" ht="11.25">
      <c r="A167" s="1174" t="s">
        <v>1040</v>
      </c>
      <c r="B167" s="1174"/>
      <c r="C167" s="1174"/>
      <c r="D167" s="1168"/>
      <c r="E167" s="1178"/>
      <c r="F167" s="1837"/>
      <c r="G167" s="1837"/>
      <c r="H167" s="1837"/>
      <c r="I167" s="1837"/>
      <c r="J167" s="1837"/>
      <c r="K167" s="1837"/>
      <c r="L167" s="1837"/>
      <c r="M167" s="1837"/>
      <c r="N167" s="1837"/>
      <c r="O167" s="1837"/>
      <c r="P167" s="1837"/>
      <c r="Q167" s="1837"/>
      <c r="R167" s="1837"/>
      <c r="S167" s="1837"/>
      <c r="T167" s="1837"/>
      <c r="U167" s="1837"/>
      <c r="V167" s="1837"/>
      <c r="W167" s="1837"/>
      <c r="X167" s="1837"/>
      <c r="Y167" s="1837"/>
      <c r="Z167" s="691" t="s">
        <v>103</v>
      </c>
      <c r="AA167" s="1821" t="s">
        <v>102</v>
      </c>
      <c r="AB167" s="1187" t="s">
        <v>1085</v>
      </c>
      <c r="AC167" s="1177">
        <v>947.14</v>
      </c>
      <c r="AD167" s="1187" t="str">
        <f>AB167</f>
        <v>  Прочие собственные средства</v>
      </c>
      <c r="AE167" s="1177">
        <v>0</v>
      </c>
      <c r="AF167" s="2094"/>
      <c r="AG167" s="1766"/>
      <c r="AH167" s="1766"/>
      <c r="AI167" s="2740"/>
      <c r="AJ167" s="1766"/>
      <c r="AK167" s="1992"/>
      <c r="AL167" s="1993"/>
      <c r="AM167" s="1830"/>
      <c r="AN167" s="1830"/>
      <c r="AO167" s="1830"/>
      <c r="AP167" s="1830"/>
      <c r="AQ167" s="1830"/>
      <c r="AR167" s="1830"/>
      <c r="AS167" s="1830"/>
      <c r="AT167" s="1830"/>
      <c r="AU167" s="1830"/>
      <c r="AV167" s="1830"/>
      <c r="AW167" s="1830"/>
      <c r="AX167" s="1830"/>
      <c r="AY167" s="1830"/>
      <c r="AZ167" s="1830"/>
      <c r="BA167" s="1830"/>
      <c r="BB167" s="1830"/>
      <c r="BC167" s="1830"/>
      <c r="BD167" s="1830"/>
      <c r="BE167" s="1830"/>
      <c r="BF167" s="1830"/>
      <c r="BG167" s="1643"/>
    </row>
    <row customHeight="1" ht="11.25">
      <c r="A168" s="1174" t="s">
        <v>1040</v>
      </c>
      <c r="B168" s="1174"/>
      <c r="C168" s="1174"/>
      <c r="D168" s="1168"/>
      <c r="E168" s="1178"/>
      <c r="F168" s="1836"/>
      <c r="G168" s="1837"/>
      <c r="H168" s="2536" t="s">
        <v>1145</v>
      </c>
      <c r="I168" s="2537"/>
      <c r="J168" s="2506"/>
      <c r="K168" s="2538"/>
      <c r="L168" s="2128"/>
      <c r="M168" s="2129"/>
      <c r="N168" s="2529"/>
      <c r="O168" s="2530"/>
      <c r="P168" s="2533"/>
      <c r="Q168" s="2735"/>
      <c r="R168" s="2534"/>
      <c r="S168" s="2535"/>
      <c r="T168" s="2534"/>
      <c r="U168" s="2534"/>
      <c r="V168" s="2534"/>
      <c r="W168" s="2534"/>
      <c r="X168" s="2534"/>
      <c r="Y168" s="2534"/>
      <c r="Z168" s="1183"/>
      <c r="AA168" s="1184"/>
      <c r="AB168" s="1249" t="s">
        <v>1086</v>
      </c>
      <c r="AC168" s="1188"/>
      <c r="AD168" s="1188"/>
      <c r="AE168" s="1190"/>
      <c r="AF168" s="2527"/>
      <c r="AG168" s="2528"/>
      <c r="AH168" s="2528"/>
      <c r="AI168" s="2734"/>
      <c r="AJ168" s="2528"/>
      <c r="AK168" s="2528"/>
      <c r="AL168" s="1993"/>
      <c r="AM168" s="1830"/>
      <c r="AN168" s="1830"/>
      <c r="AO168" s="1830"/>
      <c r="AP168" s="1830"/>
      <c r="AQ168" s="1830"/>
      <c r="AR168" s="1830"/>
      <c r="AS168" s="1830"/>
      <c r="AT168" s="1830"/>
      <c r="AU168" s="1830"/>
      <c r="AV168" s="1830"/>
      <c r="AW168" s="1830"/>
      <c r="AX168" s="1830"/>
      <c r="AY168" s="1830"/>
      <c r="AZ168" s="1830"/>
      <c r="BA168" s="1830"/>
      <c r="BB168" s="1830"/>
      <c r="BC168" s="1830"/>
      <c r="BD168" s="1830"/>
      <c r="BE168" s="1830"/>
      <c r="BF168" s="1830"/>
      <c r="BG168" s="1643"/>
    </row>
    <row customHeight="1" ht="11.25">
      <c r="A169" s="1174" t="s">
        <v>1040</v>
      </c>
      <c r="B169" s="1174"/>
      <c r="C169" s="1174"/>
      <c r="D169" s="1168"/>
      <c r="E169" s="1178"/>
      <c r="F169" s="1836"/>
      <c r="G169" s="1837"/>
      <c r="H169" s="2536" t="s">
        <v>1145</v>
      </c>
      <c r="I169" s="2537"/>
      <c r="J169" s="2506"/>
      <c r="K169" s="2538"/>
      <c r="L169" s="2128"/>
      <c r="M169" s="2129"/>
      <c r="N169" s="1183"/>
      <c r="O169" s="1184"/>
      <c r="P169" s="1176" t="s">
        <v>1087</v>
      </c>
      <c r="Q169" s="1184"/>
      <c r="R169" s="1184"/>
      <c r="S169" s="1184"/>
      <c r="T169" s="1184"/>
      <c r="U169" s="1184"/>
      <c r="V169" s="1184"/>
      <c r="W169" s="1184"/>
      <c r="X169" s="1184"/>
      <c r="Y169" s="1184"/>
      <c r="Z169" s="1184"/>
      <c r="AA169" s="1184"/>
      <c r="AB169" s="1184"/>
      <c r="AC169" s="1184"/>
      <c r="AD169" s="1184"/>
      <c r="AE169" s="1191"/>
      <c r="AF169" s="2527"/>
      <c r="AG169" s="2528"/>
      <c r="AH169" s="2528"/>
      <c r="AI169" s="2734"/>
      <c r="AJ169" s="2528"/>
      <c r="AK169" s="2528"/>
      <c r="AL169" s="1993"/>
      <c r="AM169" s="1830"/>
      <c r="AN169" s="1830"/>
      <c r="AO169" s="1830"/>
      <c r="AP169" s="1830"/>
      <c r="AQ169" s="1830"/>
      <c r="AR169" s="1830"/>
      <c r="AS169" s="1830"/>
      <c r="AT169" s="1830"/>
      <c r="AU169" s="1830"/>
      <c r="AV169" s="1830"/>
      <c r="AW169" s="1830"/>
      <c r="AX169" s="1830"/>
      <c r="AY169" s="1830"/>
      <c r="AZ169" s="1830"/>
      <c r="BA169" s="1830"/>
      <c r="BB169" s="1830"/>
      <c r="BC169" s="1830"/>
      <c r="BD169" s="1830"/>
      <c r="BE169" s="1830"/>
      <c r="BF169" s="1830"/>
      <c r="BG169" s="1643"/>
    </row>
    <row customHeight="1" ht="11.25">
      <c r="A170" s="1174" t="s">
        <v>1040</v>
      </c>
      <c r="B170" s="1174" t="s">
        <v>1119</v>
      </c>
      <c r="C170" s="1174"/>
      <c r="D170" s="1168"/>
      <c r="E170" s="1178"/>
      <c r="F170" s="1836"/>
      <c r="G170" s="691" t="s">
        <v>103</v>
      </c>
      <c r="H170" s="2536" t="s">
        <v>1150</v>
      </c>
      <c r="I170" s="2537" t="s">
        <v>1121</v>
      </c>
      <c r="J170" s="2506" t="s">
        <v>1125</v>
      </c>
      <c r="K170" s="2538" t="s">
        <v>1151</v>
      </c>
      <c r="L170" s="2128" t="s">
        <v>19</v>
      </c>
      <c r="M170" s="2129"/>
      <c r="N170" s="1991"/>
      <c r="O170" s="1185" t="s">
        <v>393</v>
      </c>
      <c r="P170" s="1186"/>
      <c r="Q170" s="1186"/>
      <c r="R170" s="1186"/>
      <c r="S170" s="1186"/>
      <c r="T170" s="1186"/>
      <c r="U170" s="1186"/>
      <c r="V170" s="1186"/>
      <c r="W170" s="1186"/>
      <c r="X170" s="1186"/>
      <c r="Y170" s="1186"/>
      <c r="Z170" s="1186"/>
      <c r="AA170" s="1186"/>
      <c r="AB170" s="1186"/>
      <c r="AC170" s="1186"/>
      <c r="AD170" s="1186"/>
      <c r="AE170" s="1186"/>
      <c r="AF170" s="2527">
        <v>1</v>
      </c>
      <c r="AG170" s="2528" t="s">
        <v>1076</v>
      </c>
      <c r="AH170" s="2528" t="s">
        <v>1091</v>
      </c>
      <c r="AI170" s="2734"/>
      <c r="AJ170" s="2528" t="s">
        <v>1132</v>
      </c>
      <c r="AK170" s="2528" t="s">
        <v>1132</v>
      </c>
      <c r="AL170" s="1993"/>
      <c r="AM170" s="1830"/>
      <c r="AN170" s="1830"/>
      <c r="AO170" s="1830"/>
      <c r="AP170" s="1830"/>
      <c r="AQ170" s="1830"/>
      <c r="AR170" s="1830"/>
      <c r="AS170" s="1830"/>
      <c r="AT170" s="1830"/>
      <c r="AU170" s="1830"/>
      <c r="AV170" s="1830"/>
      <c r="AW170" s="1830"/>
      <c r="AX170" s="1830"/>
      <c r="AY170" s="1830"/>
      <c r="AZ170" s="1830"/>
      <c r="BA170" s="1830"/>
      <c r="BB170" s="1830"/>
      <c r="BC170" s="1830"/>
      <c r="BD170" s="1830"/>
      <c r="BE170" s="1830"/>
      <c r="BF170" s="1830"/>
      <c r="BG170" s="1643"/>
    </row>
    <row customHeight="1" ht="11.25">
      <c r="A171" s="1174" t="s">
        <v>1040</v>
      </c>
      <c r="B171" s="1174"/>
      <c r="C171" s="1174"/>
      <c r="D171" s="1168"/>
      <c r="E171" s="1178"/>
      <c r="F171" s="1836"/>
      <c r="G171" s="1837"/>
      <c r="H171" s="2536" t="s">
        <v>1148</v>
      </c>
      <c r="I171" s="2537"/>
      <c r="J171" s="2506"/>
      <c r="K171" s="2538"/>
      <c r="L171" s="2128"/>
      <c r="M171" s="2129"/>
      <c r="N171" s="2529"/>
      <c r="O171" s="2530">
        <v>1</v>
      </c>
      <c r="P171" s="2531" t="s">
        <v>61</v>
      </c>
      <c r="Q171" s="2735" t="s">
        <v>1079</v>
      </c>
      <c r="R171" s="2736" t="s">
        <v>1080</v>
      </c>
      <c r="S171" s="2736" t="s">
        <v>99</v>
      </c>
      <c r="T171" s="2736" t="s">
        <v>99</v>
      </c>
      <c r="U171" s="2736" t="s">
        <v>100</v>
      </c>
      <c r="V171" s="2736" t="s">
        <v>1081</v>
      </c>
      <c r="W171" s="2736" t="s">
        <v>1082</v>
      </c>
      <c r="X171" s="2736" t="s">
        <v>1083</v>
      </c>
      <c r="Y171" s="2736" t="s">
        <v>1084</v>
      </c>
      <c r="Z171" s="1183"/>
      <c r="AA171" s="1184"/>
      <c r="AB171" s="1184"/>
      <c r="AC171" s="1188"/>
      <c r="AD171" s="1188"/>
      <c r="AE171" s="1189"/>
      <c r="AF171" s="2527"/>
      <c r="AG171" s="2528"/>
      <c r="AH171" s="2528"/>
      <c r="AI171" s="2734"/>
      <c r="AJ171" s="2528"/>
      <c r="AK171" s="2528"/>
      <c r="AL171" s="1993"/>
      <c r="AM171" s="1830"/>
      <c r="AN171" s="1830"/>
      <c r="AO171" s="1830"/>
      <c r="AP171" s="1830"/>
      <c r="AQ171" s="1830"/>
      <c r="AR171" s="1830"/>
      <c r="AS171" s="1830"/>
      <c r="AT171" s="1830"/>
      <c r="AU171" s="1830"/>
      <c r="AV171" s="1830"/>
      <c r="AW171" s="1830"/>
      <c r="AX171" s="1830"/>
      <c r="AY171" s="1830"/>
      <c r="AZ171" s="1830"/>
      <c r="BA171" s="1830"/>
      <c r="BB171" s="1830"/>
      <c r="BC171" s="1830"/>
      <c r="BD171" s="1830"/>
      <c r="BE171" s="1830"/>
      <c r="BF171" s="1830"/>
      <c r="BG171" s="1643"/>
    </row>
    <row customHeight="1" ht="11.25">
      <c r="A172" s="1174" t="s">
        <v>1040</v>
      </c>
      <c r="B172" s="1174"/>
      <c r="C172" s="1174"/>
      <c r="D172" s="1168"/>
      <c r="E172" s="1178"/>
      <c r="F172" s="1836"/>
      <c r="G172" s="1837"/>
      <c r="H172" s="2536" t="s">
        <v>1148</v>
      </c>
      <c r="I172" s="2537"/>
      <c r="J172" s="2506"/>
      <c r="K172" s="2538"/>
      <c r="L172" s="2128"/>
      <c r="M172" s="2129"/>
      <c r="N172" s="2529"/>
      <c r="O172" s="2530"/>
      <c r="P172" s="2532"/>
      <c r="Q172" s="2735"/>
      <c r="R172" s="2534"/>
      <c r="S172" s="2535"/>
      <c r="T172" s="2534"/>
      <c r="U172" s="2534"/>
      <c r="V172" s="2534"/>
      <c r="W172" s="2534"/>
      <c r="X172" s="2534"/>
      <c r="Y172" s="2534"/>
      <c r="Z172" s="1835"/>
      <c r="AA172" s="1801">
        <v>1</v>
      </c>
      <c r="AB172" s="1187" t="s">
        <v>1114</v>
      </c>
      <c r="AC172" s="1177">
        <v>14066.65</v>
      </c>
      <c r="AD172" s="1187" t="str">
        <f>AB172</f>
        <v>  За счет платы за технологическое присоединение</v>
      </c>
      <c r="AE172" s="1177">
        <v>0</v>
      </c>
      <c r="AF172" s="2527"/>
      <c r="AG172" s="2528"/>
      <c r="AH172" s="2528"/>
      <c r="AI172" s="2734"/>
      <c r="AJ172" s="2528"/>
      <c r="AK172" s="2528"/>
      <c r="AL172" s="1993"/>
      <c r="AM172" s="1830"/>
      <c r="AN172" s="1830"/>
      <c r="AO172" s="1830"/>
      <c r="AP172" s="1830"/>
      <c r="AQ172" s="1830"/>
      <c r="AR172" s="1830"/>
      <c r="AS172" s="1830"/>
      <c r="AT172" s="1830"/>
      <c r="AU172" s="1830"/>
      <c r="AV172" s="1830"/>
      <c r="AW172" s="1830"/>
      <c r="AX172" s="1830"/>
      <c r="AY172" s="1830"/>
      <c r="AZ172" s="1830"/>
      <c r="BA172" s="1830"/>
      <c r="BB172" s="1830"/>
      <c r="BC172" s="1830"/>
      <c r="BD172" s="1830"/>
      <c r="BE172" s="1830"/>
      <c r="BF172" s="1830"/>
      <c r="BG172" s="1643"/>
    </row>
    <row customHeight="1" ht="11.25">
      <c r="A173" s="1174" t="s">
        <v>1040</v>
      </c>
      <c r="B173" s="1174"/>
      <c r="C173" s="1174"/>
      <c r="D173" s="1168"/>
      <c r="E173" s="1178"/>
      <c r="F173" s="1837"/>
      <c r="G173" s="1837"/>
      <c r="H173" s="1837"/>
      <c r="I173" s="1837"/>
      <c r="J173" s="1837"/>
      <c r="K173" s="1837"/>
      <c r="L173" s="1837"/>
      <c r="M173" s="1837"/>
      <c r="N173" s="1837"/>
      <c r="O173" s="1837"/>
      <c r="P173" s="1837"/>
      <c r="Q173" s="1837"/>
      <c r="R173" s="1837"/>
      <c r="S173" s="1837"/>
      <c r="T173" s="1837"/>
      <c r="U173" s="1837"/>
      <c r="V173" s="1837"/>
      <c r="W173" s="1837"/>
      <c r="X173" s="1837"/>
      <c r="Y173" s="1837"/>
      <c r="Z173" s="691" t="s">
        <v>103</v>
      </c>
      <c r="AA173" s="1821" t="s">
        <v>102</v>
      </c>
      <c r="AB173" s="1187" t="s">
        <v>1085</v>
      </c>
      <c r="AC173" s="1177">
        <v>2813.33</v>
      </c>
      <c r="AD173" s="1187" t="str">
        <f>AB173</f>
        <v>  Прочие собственные средства</v>
      </c>
      <c r="AE173" s="1177">
        <v>0</v>
      </c>
      <c r="AF173" s="2094"/>
      <c r="AG173" s="1766"/>
      <c r="AH173" s="1766"/>
      <c r="AI173" s="2740"/>
      <c r="AJ173" s="1766"/>
      <c r="AK173" s="1992"/>
      <c r="AL173" s="1993"/>
      <c r="AM173" s="1830"/>
      <c r="AN173" s="1830"/>
      <c r="AO173" s="1830"/>
      <c r="AP173" s="1830"/>
      <c r="AQ173" s="1830"/>
      <c r="AR173" s="1830"/>
      <c r="AS173" s="1830"/>
      <c r="AT173" s="1830"/>
      <c r="AU173" s="1830"/>
      <c r="AV173" s="1830"/>
      <c r="AW173" s="1830"/>
      <c r="AX173" s="1830"/>
      <c r="AY173" s="1830"/>
      <c r="AZ173" s="1830"/>
      <c r="BA173" s="1830"/>
      <c r="BB173" s="1830"/>
      <c r="BC173" s="1830"/>
      <c r="BD173" s="1830"/>
      <c r="BE173" s="1830"/>
      <c r="BF173" s="1830"/>
      <c r="BG173" s="1643"/>
    </row>
    <row customHeight="1" ht="11.25">
      <c r="A174" s="1174" t="s">
        <v>1040</v>
      </c>
      <c r="B174" s="1174"/>
      <c r="C174" s="1174"/>
      <c r="D174" s="1168"/>
      <c r="E174" s="1178"/>
      <c r="F174" s="1836"/>
      <c r="G174" s="1837"/>
      <c r="H174" s="2536" t="s">
        <v>1148</v>
      </c>
      <c r="I174" s="2537"/>
      <c r="J174" s="2506"/>
      <c r="K174" s="2538"/>
      <c r="L174" s="2128"/>
      <c r="M174" s="2129"/>
      <c r="N174" s="2529"/>
      <c r="O174" s="2530"/>
      <c r="P174" s="2533"/>
      <c r="Q174" s="2735"/>
      <c r="R174" s="2534"/>
      <c r="S174" s="2535"/>
      <c r="T174" s="2534"/>
      <c r="U174" s="2534"/>
      <c r="V174" s="2534"/>
      <c r="W174" s="2534"/>
      <c r="X174" s="2534"/>
      <c r="Y174" s="2534"/>
      <c r="Z174" s="1183"/>
      <c r="AA174" s="1184"/>
      <c r="AB174" s="1249" t="s">
        <v>1086</v>
      </c>
      <c r="AC174" s="1188"/>
      <c r="AD174" s="1188"/>
      <c r="AE174" s="1190"/>
      <c r="AF174" s="2527"/>
      <c r="AG174" s="2528"/>
      <c r="AH174" s="2528"/>
      <c r="AI174" s="2734"/>
      <c r="AJ174" s="2528"/>
      <c r="AK174" s="2528"/>
      <c r="AL174" s="1993"/>
      <c r="AM174" s="1830"/>
      <c r="AN174" s="1830"/>
      <c r="AO174" s="1830"/>
      <c r="AP174" s="1830"/>
      <c r="AQ174" s="1830"/>
      <c r="AR174" s="1830"/>
      <c r="AS174" s="1830"/>
      <c r="AT174" s="1830"/>
      <c r="AU174" s="1830"/>
      <c r="AV174" s="1830"/>
      <c r="AW174" s="1830"/>
      <c r="AX174" s="1830"/>
      <c r="AY174" s="1830"/>
      <c r="AZ174" s="1830"/>
      <c r="BA174" s="1830"/>
      <c r="BB174" s="1830"/>
      <c r="BC174" s="1830"/>
      <c r="BD174" s="1830"/>
      <c r="BE174" s="1830"/>
      <c r="BF174" s="1830"/>
      <c r="BG174" s="1643"/>
    </row>
    <row customHeight="1" ht="11.25">
      <c r="A175" s="1174" t="s">
        <v>1040</v>
      </c>
      <c r="B175" s="1174"/>
      <c r="C175" s="1174"/>
      <c r="D175" s="1168"/>
      <c r="E175" s="1178"/>
      <c r="F175" s="1836"/>
      <c r="G175" s="1837"/>
      <c r="H175" s="2536" t="s">
        <v>1148</v>
      </c>
      <c r="I175" s="2537"/>
      <c r="J175" s="2506"/>
      <c r="K175" s="2538"/>
      <c r="L175" s="2128"/>
      <c r="M175" s="2129"/>
      <c r="N175" s="1183"/>
      <c r="O175" s="1184"/>
      <c r="P175" s="1176" t="s">
        <v>1087</v>
      </c>
      <c r="Q175" s="1184"/>
      <c r="R175" s="1184"/>
      <c r="S175" s="1184"/>
      <c r="T175" s="1184"/>
      <c r="U175" s="1184"/>
      <c r="V175" s="1184"/>
      <c r="W175" s="1184"/>
      <c r="X175" s="1184"/>
      <c r="Y175" s="1184"/>
      <c r="Z175" s="1184"/>
      <c r="AA175" s="1184"/>
      <c r="AB175" s="1184"/>
      <c r="AC175" s="1184"/>
      <c r="AD175" s="1184"/>
      <c r="AE175" s="1191"/>
      <c r="AF175" s="2527"/>
      <c r="AG175" s="2528"/>
      <c r="AH175" s="2528"/>
      <c r="AI175" s="2734"/>
      <c r="AJ175" s="2528"/>
      <c r="AK175" s="2528"/>
      <c r="AL175" s="1993"/>
      <c r="AM175" s="1830"/>
      <c r="AN175" s="1830"/>
      <c r="AO175" s="1830"/>
      <c r="AP175" s="1830"/>
      <c r="AQ175" s="1830"/>
      <c r="AR175" s="1830"/>
      <c r="AS175" s="1830"/>
      <c r="AT175" s="1830"/>
      <c r="AU175" s="1830"/>
      <c r="AV175" s="1830"/>
      <c r="AW175" s="1830"/>
      <c r="AX175" s="1830"/>
      <c r="AY175" s="1830"/>
      <c r="AZ175" s="1830"/>
      <c r="BA175" s="1830"/>
      <c r="BB175" s="1830"/>
      <c r="BC175" s="1830"/>
      <c r="BD175" s="1830"/>
      <c r="BE175" s="1830"/>
      <c r="BF175" s="1830"/>
      <c r="BG175" s="1643"/>
    </row>
    <row customHeight="1" ht="11.25">
      <c r="A176" s="1174" t="s">
        <v>1040</v>
      </c>
      <c r="B176" s="1174" t="s">
        <v>1119</v>
      </c>
      <c r="C176" s="1174"/>
      <c r="D176" s="1168"/>
      <c r="E176" s="1178"/>
      <c r="F176" s="1836"/>
      <c r="G176" s="691" t="s">
        <v>103</v>
      </c>
      <c r="H176" s="2536" t="s">
        <v>1152</v>
      </c>
      <c r="I176" s="2537" t="s">
        <v>1121</v>
      </c>
      <c r="J176" s="2506" t="s">
        <v>1125</v>
      </c>
      <c r="K176" s="2538" t="s">
        <v>1153</v>
      </c>
      <c r="L176" s="2128" t="s">
        <v>19</v>
      </c>
      <c r="M176" s="2129"/>
      <c r="N176" s="1991"/>
      <c r="O176" s="1185" t="s">
        <v>393</v>
      </c>
      <c r="P176" s="1186"/>
      <c r="Q176" s="1186"/>
      <c r="R176" s="1186"/>
      <c r="S176" s="1186"/>
      <c r="T176" s="1186"/>
      <c r="U176" s="1186"/>
      <c r="V176" s="1186"/>
      <c r="W176" s="1186"/>
      <c r="X176" s="1186"/>
      <c r="Y176" s="1186"/>
      <c r="Z176" s="1186"/>
      <c r="AA176" s="1186"/>
      <c r="AB176" s="1186"/>
      <c r="AC176" s="1186"/>
      <c r="AD176" s="1186"/>
      <c r="AE176" s="1186"/>
      <c r="AF176" s="2527">
        <v>1</v>
      </c>
      <c r="AG176" s="2528" t="s">
        <v>1076</v>
      </c>
      <c r="AH176" s="2528" t="s">
        <v>1091</v>
      </c>
      <c r="AI176" s="2734"/>
      <c r="AJ176" s="2528" t="s">
        <v>1132</v>
      </c>
      <c r="AK176" s="2528" t="s">
        <v>1132</v>
      </c>
      <c r="AL176" s="1993"/>
      <c r="AM176" s="1830"/>
      <c r="AN176" s="1830"/>
      <c r="AO176" s="1830"/>
      <c r="AP176" s="1830"/>
      <c r="AQ176" s="1830"/>
      <c r="AR176" s="1830"/>
      <c r="AS176" s="1830"/>
      <c r="AT176" s="1830"/>
      <c r="AU176" s="1830"/>
      <c r="AV176" s="1830"/>
      <c r="AW176" s="1830"/>
      <c r="AX176" s="1830"/>
      <c r="AY176" s="1830"/>
      <c r="AZ176" s="1830"/>
      <c r="BA176" s="1830"/>
      <c r="BB176" s="1830"/>
      <c r="BC176" s="1830"/>
      <c r="BD176" s="1830"/>
      <c r="BE176" s="1830"/>
      <c r="BF176" s="1830"/>
      <c r="BG176" s="1643"/>
    </row>
    <row customHeight="1" ht="11.25">
      <c r="A177" s="1174" t="s">
        <v>1040</v>
      </c>
      <c r="B177" s="1174"/>
      <c r="C177" s="1174"/>
      <c r="D177" s="1168"/>
      <c r="E177" s="1178"/>
      <c r="F177" s="1836"/>
      <c r="G177" s="1837"/>
      <c r="H177" s="2536" t="s">
        <v>1150</v>
      </c>
      <c r="I177" s="2537"/>
      <c r="J177" s="2506"/>
      <c r="K177" s="2538"/>
      <c r="L177" s="2128"/>
      <c r="M177" s="2129"/>
      <c r="N177" s="2529"/>
      <c r="O177" s="2530">
        <v>1</v>
      </c>
      <c r="P177" s="2531" t="s">
        <v>61</v>
      </c>
      <c r="Q177" s="2735" t="s">
        <v>1079</v>
      </c>
      <c r="R177" s="2736" t="s">
        <v>1080</v>
      </c>
      <c r="S177" s="2736" t="s">
        <v>99</v>
      </c>
      <c r="T177" s="2736" t="s">
        <v>99</v>
      </c>
      <c r="U177" s="2736" t="s">
        <v>100</v>
      </c>
      <c r="V177" s="2736" t="s">
        <v>1081</v>
      </c>
      <c r="W177" s="2736" t="s">
        <v>1082</v>
      </c>
      <c r="X177" s="2736" t="s">
        <v>1083</v>
      </c>
      <c r="Y177" s="2736" t="s">
        <v>1084</v>
      </c>
      <c r="Z177" s="1183"/>
      <c r="AA177" s="1184"/>
      <c r="AB177" s="1184"/>
      <c r="AC177" s="1188"/>
      <c r="AD177" s="1188"/>
      <c r="AE177" s="1189"/>
      <c r="AF177" s="2527"/>
      <c r="AG177" s="2528"/>
      <c r="AH177" s="2528"/>
      <c r="AI177" s="2734"/>
      <c r="AJ177" s="2528"/>
      <c r="AK177" s="2528"/>
      <c r="AL177" s="1993"/>
      <c r="AM177" s="1830"/>
      <c r="AN177" s="1830"/>
      <c r="AO177" s="1830"/>
      <c r="AP177" s="1830"/>
      <c r="AQ177" s="1830"/>
      <c r="AR177" s="1830"/>
      <c r="AS177" s="1830"/>
      <c r="AT177" s="1830"/>
      <c r="AU177" s="1830"/>
      <c r="AV177" s="1830"/>
      <c r="AW177" s="1830"/>
      <c r="AX177" s="1830"/>
      <c r="AY177" s="1830"/>
      <c r="AZ177" s="1830"/>
      <c r="BA177" s="1830"/>
      <c r="BB177" s="1830"/>
      <c r="BC177" s="1830"/>
      <c r="BD177" s="1830"/>
      <c r="BE177" s="1830"/>
      <c r="BF177" s="1830"/>
      <c r="BG177" s="1643"/>
    </row>
    <row customHeight="1" ht="11.25">
      <c r="A178" s="1174" t="s">
        <v>1040</v>
      </c>
      <c r="B178" s="1174"/>
      <c r="C178" s="1174"/>
      <c r="D178" s="1168"/>
      <c r="E178" s="1178"/>
      <c r="F178" s="1836"/>
      <c r="G178" s="1837"/>
      <c r="H178" s="2536" t="s">
        <v>1150</v>
      </c>
      <c r="I178" s="2537"/>
      <c r="J178" s="2506"/>
      <c r="K178" s="2538"/>
      <c r="L178" s="2128"/>
      <c r="M178" s="2129"/>
      <c r="N178" s="2529"/>
      <c r="O178" s="2530"/>
      <c r="P178" s="2532"/>
      <c r="Q178" s="2735"/>
      <c r="R178" s="2534"/>
      <c r="S178" s="2535"/>
      <c r="T178" s="2534"/>
      <c r="U178" s="2534"/>
      <c r="V178" s="2534"/>
      <c r="W178" s="2534"/>
      <c r="X178" s="2534"/>
      <c r="Y178" s="2534"/>
      <c r="Z178" s="1835"/>
      <c r="AA178" s="1801">
        <v>1</v>
      </c>
      <c r="AB178" s="1187" t="s">
        <v>1114</v>
      </c>
      <c r="AC178" s="1177">
        <v>349.46</v>
      </c>
      <c r="AD178" s="1187" t="str">
        <f>AB178</f>
        <v>  За счет платы за технологическое присоединение</v>
      </c>
      <c r="AE178" s="1177">
        <v>0</v>
      </c>
      <c r="AF178" s="2527"/>
      <c r="AG178" s="2528"/>
      <c r="AH178" s="2528"/>
      <c r="AI178" s="2734"/>
      <c r="AJ178" s="2528"/>
      <c r="AK178" s="2528"/>
      <c r="AL178" s="1993"/>
      <c r="AM178" s="1830"/>
      <c r="AN178" s="1830"/>
      <c r="AO178" s="1830"/>
      <c r="AP178" s="1830"/>
      <c r="AQ178" s="1830"/>
      <c r="AR178" s="1830"/>
      <c r="AS178" s="1830"/>
      <c r="AT178" s="1830"/>
      <c r="AU178" s="1830"/>
      <c r="AV178" s="1830"/>
      <c r="AW178" s="1830"/>
      <c r="AX178" s="1830"/>
      <c r="AY178" s="1830"/>
      <c r="AZ178" s="1830"/>
      <c r="BA178" s="1830"/>
      <c r="BB178" s="1830"/>
      <c r="BC178" s="1830"/>
      <c r="BD178" s="1830"/>
      <c r="BE178" s="1830"/>
      <c r="BF178" s="1830"/>
      <c r="BG178" s="1643"/>
    </row>
    <row customHeight="1" ht="11.25">
      <c r="A179" s="1174" t="s">
        <v>1040</v>
      </c>
      <c r="B179" s="1174"/>
      <c r="C179" s="1174"/>
      <c r="D179" s="1168"/>
      <c r="E179" s="1178"/>
      <c r="F179" s="1837"/>
      <c r="G179" s="1837"/>
      <c r="H179" s="1837"/>
      <c r="I179" s="1837"/>
      <c r="J179" s="1837"/>
      <c r="K179" s="1837"/>
      <c r="L179" s="1837"/>
      <c r="M179" s="1837"/>
      <c r="N179" s="1837"/>
      <c r="O179" s="1837"/>
      <c r="P179" s="1837"/>
      <c r="Q179" s="1837"/>
      <c r="R179" s="1837"/>
      <c r="S179" s="1837"/>
      <c r="T179" s="1837"/>
      <c r="U179" s="1837"/>
      <c r="V179" s="1837"/>
      <c r="W179" s="1837"/>
      <c r="X179" s="1837"/>
      <c r="Y179" s="1837"/>
      <c r="Z179" s="691" t="s">
        <v>103</v>
      </c>
      <c r="AA179" s="1821" t="s">
        <v>102</v>
      </c>
      <c r="AB179" s="1187" t="s">
        <v>1085</v>
      </c>
      <c r="AC179" s="1177">
        <v>69.89</v>
      </c>
      <c r="AD179" s="1187" t="str">
        <f>AB179</f>
        <v>  Прочие собственные средства</v>
      </c>
      <c r="AE179" s="1177">
        <v>0</v>
      </c>
      <c r="AF179" s="2094"/>
      <c r="AG179" s="1766"/>
      <c r="AH179" s="1766"/>
      <c r="AI179" s="2740"/>
      <c r="AJ179" s="1766"/>
      <c r="AK179" s="1992"/>
      <c r="AL179" s="1993"/>
      <c r="AM179" s="1830"/>
      <c r="AN179" s="1830"/>
      <c r="AO179" s="1830"/>
      <c r="AP179" s="1830"/>
      <c r="AQ179" s="1830"/>
      <c r="AR179" s="1830"/>
      <c r="AS179" s="1830"/>
      <c r="AT179" s="1830"/>
      <c r="AU179" s="1830"/>
      <c r="AV179" s="1830"/>
      <c r="AW179" s="1830"/>
      <c r="AX179" s="1830"/>
      <c r="AY179" s="1830"/>
      <c r="AZ179" s="1830"/>
      <c r="BA179" s="1830"/>
      <c r="BB179" s="1830"/>
      <c r="BC179" s="1830"/>
      <c r="BD179" s="1830"/>
      <c r="BE179" s="1830"/>
      <c r="BF179" s="1830"/>
      <c r="BG179" s="1643"/>
    </row>
    <row customHeight="1" ht="11.25">
      <c r="A180" s="1174" t="s">
        <v>1040</v>
      </c>
      <c r="B180" s="1174"/>
      <c r="C180" s="1174"/>
      <c r="D180" s="1168"/>
      <c r="E180" s="1178"/>
      <c r="F180" s="1836"/>
      <c r="G180" s="1837"/>
      <c r="H180" s="2536" t="s">
        <v>1150</v>
      </c>
      <c r="I180" s="2537"/>
      <c r="J180" s="2506"/>
      <c r="K180" s="2538"/>
      <c r="L180" s="2128"/>
      <c r="M180" s="2129"/>
      <c r="N180" s="2529"/>
      <c r="O180" s="2530"/>
      <c r="P180" s="2533"/>
      <c r="Q180" s="2735"/>
      <c r="R180" s="2534"/>
      <c r="S180" s="2535"/>
      <c r="T180" s="2534"/>
      <c r="U180" s="2534"/>
      <c r="V180" s="2534"/>
      <c r="W180" s="2534"/>
      <c r="X180" s="2534"/>
      <c r="Y180" s="2534"/>
      <c r="Z180" s="1183"/>
      <c r="AA180" s="1184"/>
      <c r="AB180" s="1249" t="s">
        <v>1086</v>
      </c>
      <c r="AC180" s="1188"/>
      <c r="AD180" s="1188"/>
      <c r="AE180" s="1190"/>
      <c r="AF180" s="2527"/>
      <c r="AG180" s="2528"/>
      <c r="AH180" s="2528"/>
      <c r="AI180" s="2734"/>
      <c r="AJ180" s="2528"/>
      <c r="AK180" s="2528"/>
      <c r="AL180" s="1993"/>
      <c r="AM180" s="1830"/>
      <c r="AN180" s="1830"/>
      <c r="AO180" s="1830"/>
      <c r="AP180" s="1830"/>
      <c r="AQ180" s="1830"/>
      <c r="AR180" s="1830"/>
      <c r="AS180" s="1830"/>
      <c r="AT180" s="1830"/>
      <c r="AU180" s="1830"/>
      <c r="AV180" s="1830"/>
      <c r="AW180" s="1830"/>
      <c r="AX180" s="1830"/>
      <c r="AY180" s="1830"/>
      <c r="AZ180" s="1830"/>
      <c r="BA180" s="1830"/>
      <c r="BB180" s="1830"/>
      <c r="BC180" s="1830"/>
      <c r="BD180" s="1830"/>
      <c r="BE180" s="1830"/>
      <c r="BF180" s="1830"/>
      <c r="BG180" s="1643"/>
    </row>
    <row customHeight="1" ht="11.25">
      <c r="A181" s="1174" t="s">
        <v>1040</v>
      </c>
      <c r="B181" s="1174"/>
      <c r="C181" s="1174"/>
      <c r="D181" s="1168"/>
      <c r="E181" s="1178"/>
      <c r="F181" s="1836"/>
      <c r="G181" s="1837"/>
      <c r="H181" s="2536" t="s">
        <v>1150</v>
      </c>
      <c r="I181" s="2537"/>
      <c r="J181" s="2506"/>
      <c r="K181" s="2538"/>
      <c r="L181" s="2128"/>
      <c r="M181" s="2129"/>
      <c r="N181" s="1183"/>
      <c r="O181" s="1184"/>
      <c r="P181" s="1176" t="s">
        <v>1087</v>
      </c>
      <c r="Q181" s="1184"/>
      <c r="R181" s="1184"/>
      <c r="S181" s="1184"/>
      <c r="T181" s="1184"/>
      <c r="U181" s="1184"/>
      <c r="V181" s="1184"/>
      <c r="W181" s="1184"/>
      <c r="X181" s="1184"/>
      <c r="Y181" s="1184"/>
      <c r="Z181" s="1184"/>
      <c r="AA181" s="1184"/>
      <c r="AB181" s="1184"/>
      <c r="AC181" s="1184"/>
      <c r="AD181" s="1184"/>
      <c r="AE181" s="1191"/>
      <c r="AF181" s="2527"/>
      <c r="AG181" s="2528"/>
      <c r="AH181" s="2528"/>
      <c r="AI181" s="2734"/>
      <c r="AJ181" s="2528"/>
      <c r="AK181" s="2528"/>
      <c r="AL181" s="1993"/>
      <c r="AM181" s="1830"/>
      <c r="AN181" s="1830"/>
      <c r="AO181" s="1830"/>
      <c r="AP181" s="1830"/>
      <c r="AQ181" s="1830"/>
      <c r="AR181" s="1830"/>
      <c r="AS181" s="1830"/>
      <c r="AT181" s="1830"/>
      <c r="AU181" s="1830"/>
      <c r="AV181" s="1830"/>
      <c r="AW181" s="1830"/>
      <c r="AX181" s="1830"/>
      <c r="AY181" s="1830"/>
      <c r="AZ181" s="1830"/>
      <c r="BA181" s="1830"/>
      <c r="BB181" s="1830"/>
      <c r="BC181" s="1830"/>
      <c r="BD181" s="1830"/>
      <c r="BE181" s="1830"/>
      <c r="BF181" s="1830"/>
      <c r="BG181" s="1643"/>
    </row>
    <row customHeight="1" ht="11.25">
      <c r="A182" s="1174" t="s">
        <v>1040</v>
      </c>
      <c r="B182" s="1174" t="s">
        <v>1119</v>
      </c>
      <c r="C182" s="1174"/>
      <c r="D182" s="1168"/>
      <c r="E182" s="1178"/>
      <c r="F182" s="1836"/>
      <c r="G182" s="691" t="s">
        <v>103</v>
      </c>
      <c r="H182" s="2536" t="s">
        <v>1154</v>
      </c>
      <c r="I182" s="2537" t="s">
        <v>1121</v>
      </c>
      <c r="J182" s="2506" t="s">
        <v>1125</v>
      </c>
      <c r="K182" s="2538" t="s">
        <v>1155</v>
      </c>
      <c r="L182" s="2128" t="s">
        <v>19</v>
      </c>
      <c r="M182" s="2129"/>
      <c r="N182" s="1991"/>
      <c r="O182" s="1185" t="s">
        <v>393</v>
      </c>
      <c r="P182" s="1186"/>
      <c r="Q182" s="1186"/>
      <c r="R182" s="1186"/>
      <c r="S182" s="1186"/>
      <c r="T182" s="1186"/>
      <c r="U182" s="1186"/>
      <c r="V182" s="1186"/>
      <c r="W182" s="1186"/>
      <c r="X182" s="1186"/>
      <c r="Y182" s="1186"/>
      <c r="Z182" s="1186"/>
      <c r="AA182" s="1186"/>
      <c r="AB182" s="1186"/>
      <c r="AC182" s="1186"/>
      <c r="AD182" s="1186"/>
      <c r="AE182" s="1186"/>
      <c r="AF182" s="2527">
        <v>1</v>
      </c>
      <c r="AG182" s="2528" t="s">
        <v>1076</v>
      </c>
      <c r="AH182" s="2528" t="s">
        <v>1091</v>
      </c>
      <c r="AI182" s="2734"/>
      <c r="AJ182" s="2528" t="s">
        <v>1132</v>
      </c>
      <c r="AK182" s="2528" t="s">
        <v>1132</v>
      </c>
      <c r="AL182" s="1993"/>
      <c r="AM182" s="1830"/>
      <c r="AN182" s="1830"/>
      <c r="AO182" s="1830"/>
      <c r="AP182" s="1830"/>
      <c r="AQ182" s="1830"/>
      <c r="AR182" s="1830"/>
      <c r="AS182" s="1830"/>
      <c r="AT182" s="1830"/>
      <c r="AU182" s="1830"/>
      <c r="AV182" s="1830"/>
      <c r="AW182" s="1830"/>
      <c r="AX182" s="1830"/>
      <c r="AY182" s="1830"/>
      <c r="AZ182" s="1830"/>
      <c r="BA182" s="1830"/>
      <c r="BB182" s="1830"/>
      <c r="BC182" s="1830"/>
      <c r="BD182" s="1830"/>
      <c r="BE182" s="1830"/>
      <c r="BF182" s="1830"/>
      <c r="BG182" s="1643"/>
    </row>
    <row customHeight="1" ht="11.25">
      <c r="A183" s="1174" t="s">
        <v>1040</v>
      </c>
      <c r="B183" s="1174"/>
      <c r="C183" s="1174"/>
      <c r="D183" s="1168"/>
      <c r="E183" s="1178"/>
      <c r="F183" s="1836"/>
      <c r="G183" s="1837"/>
      <c r="H183" s="2536" t="s">
        <v>1152</v>
      </c>
      <c r="I183" s="2537"/>
      <c r="J183" s="2506"/>
      <c r="K183" s="2538"/>
      <c r="L183" s="2128"/>
      <c r="M183" s="2129"/>
      <c r="N183" s="2529"/>
      <c r="O183" s="2530">
        <v>1</v>
      </c>
      <c r="P183" s="2531" t="s">
        <v>61</v>
      </c>
      <c r="Q183" s="2735" t="s">
        <v>1079</v>
      </c>
      <c r="R183" s="2736" t="s">
        <v>1080</v>
      </c>
      <c r="S183" s="2736" t="s">
        <v>99</v>
      </c>
      <c r="T183" s="2736" t="s">
        <v>99</v>
      </c>
      <c r="U183" s="2736" t="s">
        <v>100</v>
      </c>
      <c r="V183" s="2736" t="s">
        <v>1081</v>
      </c>
      <c r="W183" s="2736" t="s">
        <v>1082</v>
      </c>
      <c r="X183" s="2736" t="s">
        <v>1083</v>
      </c>
      <c r="Y183" s="2736" t="s">
        <v>1084</v>
      </c>
      <c r="Z183" s="1183"/>
      <c r="AA183" s="1184"/>
      <c r="AB183" s="1184"/>
      <c r="AC183" s="1188"/>
      <c r="AD183" s="1188"/>
      <c r="AE183" s="1189"/>
      <c r="AF183" s="2527"/>
      <c r="AG183" s="2528"/>
      <c r="AH183" s="2528"/>
      <c r="AI183" s="2734"/>
      <c r="AJ183" s="2528"/>
      <c r="AK183" s="2528"/>
      <c r="AL183" s="1993"/>
      <c r="AM183" s="1830"/>
      <c r="AN183" s="1830"/>
      <c r="AO183" s="1830"/>
      <c r="AP183" s="1830"/>
      <c r="AQ183" s="1830"/>
      <c r="AR183" s="1830"/>
      <c r="AS183" s="1830"/>
      <c r="AT183" s="1830"/>
      <c r="AU183" s="1830"/>
      <c r="AV183" s="1830"/>
      <c r="AW183" s="1830"/>
      <c r="AX183" s="1830"/>
      <c r="AY183" s="1830"/>
      <c r="AZ183" s="1830"/>
      <c r="BA183" s="1830"/>
      <c r="BB183" s="1830"/>
      <c r="BC183" s="1830"/>
      <c r="BD183" s="1830"/>
      <c r="BE183" s="1830"/>
      <c r="BF183" s="1830"/>
      <c r="BG183" s="1643"/>
    </row>
    <row customHeight="1" ht="11.25">
      <c r="A184" s="1174" t="s">
        <v>1040</v>
      </c>
      <c r="B184" s="1174"/>
      <c r="C184" s="1174"/>
      <c r="D184" s="1168"/>
      <c r="E184" s="1178"/>
      <c r="F184" s="1836"/>
      <c r="G184" s="1837"/>
      <c r="H184" s="2536" t="s">
        <v>1152</v>
      </c>
      <c r="I184" s="2537"/>
      <c r="J184" s="2506"/>
      <c r="K184" s="2538"/>
      <c r="L184" s="2128"/>
      <c r="M184" s="2129"/>
      <c r="N184" s="2529"/>
      <c r="O184" s="2530"/>
      <c r="P184" s="2532"/>
      <c r="Q184" s="2735"/>
      <c r="R184" s="2534"/>
      <c r="S184" s="2535"/>
      <c r="T184" s="2534"/>
      <c r="U184" s="2534"/>
      <c r="V184" s="2534"/>
      <c r="W184" s="2534"/>
      <c r="X184" s="2534"/>
      <c r="Y184" s="2534"/>
      <c r="Z184" s="1835"/>
      <c r="AA184" s="1801">
        <v>1</v>
      </c>
      <c r="AB184" s="1187" t="s">
        <v>1114</v>
      </c>
      <c r="AC184" s="1177">
        <v>15774.09</v>
      </c>
      <c r="AD184" s="1187" t="str">
        <f>AB184</f>
        <v>  За счет платы за технологическое присоединение</v>
      </c>
      <c r="AE184" s="1177">
        <v>0</v>
      </c>
      <c r="AF184" s="2527"/>
      <c r="AG184" s="2528"/>
      <c r="AH184" s="2528"/>
      <c r="AI184" s="2734"/>
      <c r="AJ184" s="2528"/>
      <c r="AK184" s="2528"/>
      <c r="AL184" s="1993"/>
      <c r="AM184" s="1830"/>
      <c r="AN184" s="1830"/>
      <c r="AO184" s="1830"/>
      <c r="AP184" s="1830"/>
      <c r="AQ184" s="1830"/>
      <c r="AR184" s="1830"/>
      <c r="AS184" s="1830"/>
      <c r="AT184" s="1830"/>
      <c r="AU184" s="1830"/>
      <c r="AV184" s="1830"/>
      <c r="AW184" s="1830"/>
      <c r="AX184" s="1830"/>
      <c r="AY184" s="1830"/>
      <c r="AZ184" s="1830"/>
      <c r="BA184" s="1830"/>
      <c r="BB184" s="1830"/>
      <c r="BC184" s="1830"/>
      <c r="BD184" s="1830"/>
      <c r="BE184" s="1830"/>
      <c r="BF184" s="1830"/>
      <c r="BG184" s="1643"/>
    </row>
    <row customHeight="1" ht="11.25">
      <c r="A185" s="1174" t="s">
        <v>1040</v>
      </c>
      <c r="B185" s="1174"/>
      <c r="C185" s="1174"/>
      <c r="D185" s="1168"/>
      <c r="E185" s="1178"/>
      <c r="F185" s="1837"/>
      <c r="G185" s="1837"/>
      <c r="H185" s="1837"/>
      <c r="I185" s="1837"/>
      <c r="J185" s="1837"/>
      <c r="K185" s="1837"/>
      <c r="L185" s="1837"/>
      <c r="M185" s="1837"/>
      <c r="N185" s="1837"/>
      <c r="O185" s="1837"/>
      <c r="P185" s="1837"/>
      <c r="Q185" s="1837"/>
      <c r="R185" s="1837"/>
      <c r="S185" s="1837"/>
      <c r="T185" s="1837"/>
      <c r="U185" s="1837"/>
      <c r="V185" s="1837"/>
      <c r="W185" s="1837"/>
      <c r="X185" s="1837"/>
      <c r="Y185" s="1837"/>
      <c r="Z185" s="691" t="s">
        <v>103</v>
      </c>
      <c r="AA185" s="1821" t="s">
        <v>102</v>
      </c>
      <c r="AB185" s="1187" t="s">
        <v>1085</v>
      </c>
      <c r="AC185" s="1177">
        <v>3154.82</v>
      </c>
      <c r="AD185" s="1187" t="str">
        <f>AB185</f>
        <v>  Прочие собственные средства</v>
      </c>
      <c r="AE185" s="1177">
        <v>0</v>
      </c>
      <c r="AF185" s="2094"/>
      <c r="AG185" s="1766"/>
      <c r="AH185" s="1766"/>
      <c r="AI185" s="2740"/>
      <c r="AJ185" s="1766"/>
      <c r="AK185" s="1992"/>
      <c r="AL185" s="1993"/>
      <c r="AM185" s="1830"/>
      <c r="AN185" s="1830"/>
      <c r="AO185" s="1830"/>
      <c r="AP185" s="1830"/>
      <c r="AQ185" s="1830"/>
      <c r="AR185" s="1830"/>
      <c r="AS185" s="1830"/>
      <c r="AT185" s="1830"/>
      <c r="AU185" s="1830"/>
      <c r="AV185" s="1830"/>
      <c r="AW185" s="1830"/>
      <c r="AX185" s="1830"/>
      <c r="AY185" s="1830"/>
      <c r="AZ185" s="1830"/>
      <c r="BA185" s="1830"/>
      <c r="BB185" s="1830"/>
      <c r="BC185" s="1830"/>
      <c r="BD185" s="1830"/>
      <c r="BE185" s="1830"/>
      <c r="BF185" s="1830"/>
      <c r="BG185" s="1643"/>
    </row>
    <row customHeight="1" ht="11.25">
      <c r="A186" s="1174" t="s">
        <v>1040</v>
      </c>
      <c r="B186" s="1174"/>
      <c r="C186" s="1174"/>
      <c r="D186" s="1168"/>
      <c r="E186" s="1178"/>
      <c r="F186" s="1836"/>
      <c r="G186" s="1837"/>
      <c r="H186" s="2536" t="s">
        <v>1152</v>
      </c>
      <c r="I186" s="2537"/>
      <c r="J186" s="2506"/>
      <c r="K186" s="2538"/>
      <c r="L186" s="2128"/>
      <c r="M186" s="2129"/>
      <c r="N186" s="2529"/>
      <c r="O186" s="2530"/>
      <c r="P186" s="2533"/>
      <c r="Q186" s="2735"/>
      <c r="R186" s="2534"/>
      <c r="S186" s="2535"/>
      <c r="T186" s="2534"/>
      <c r="U186" s="2534"/>
      <c r="V186" s="2534"/>
      <c r="W186" s="2534"/>
      <c r="X186" s="2534"/>
      <c r="Y186" s="2534"/>
      <c r="Z186" s="1183"/>
      <c r="AA186" s="1184"/>
      <c r="AB186" s="1249" t="s">
        <v>1086</v>
      </c>
      <c r="AC186" s="1188"/>
      <c r="AD186" s="1188"/>
      <c r="AE186" s="1190"/>
      <c r="AF186" s="2527"/>
      <c r="AG186" s="2528"/>
      <c r="AH186" s="2528"/>
      <c r="AI186" s="2734"/>
      <c r="AJ186" s="2528"/>
      <c r="AK186" s="2528"/>
      <c r="AL186" s="1993"/>
      <c r="AM186" s="1830"/>
      <c r="AN186" s="1830"/>
      <c r="AO186" s="1830"/>
      <c r="AP186" s="1830"/>
      <c r="AQ186" s="1830"/>
      <c r="AR186" s="1830"/>
      <c r="AS186" s="1830"/>
      <c r="AT186" s="1830"/>
      <c r="AU186" s="1830"/>
      <c r="AV186" s="1830"/>
      <c r="AW186" s="1830"/>
      <c r="AX186" s="1830"/>
      <c r="AY186" s="1830"/>
      <c r="AZ186" s="1830"/>
      <c r="BA186" s="1830"/>
      <c r="BB186" s="1830"/>
      <c r="BC186" s="1830"/>
      <c r="BD186" s="1830"/>
      <c r="BE186" s="1830"/>
      <c r="BF186" s="1830"/>
      <c r="BG186" s="1643"/>
    </row>
    <row customHeight="1" ht="11.25">
      <c r="A187" s="1174" t="s">
        <v>1040</v>
      </c>
      <c r="B187" s="1174"/>
      <c r="C187" s="1174"/>
      <c r="D187" s="1168"/>
      <c r="E187" s="1178"/>
      <c r="F187" s="1836"/>
      <c r="G187" s="1837"/>
      <c r="H187" s="2536" t="s">
        <v>1152</v>
      </c>
      <c r="I187" s="2537"/>
      <c r="J187" s="2506"/>
      <c r="K187" s="2538"/>
      <c r="L187" s="2128"/>
      <c r="M187" s="2129"/>
      <c r="N187" s="1183"/>
      <c r="O187" s="1184"/>
      <c r="P187" s="1176" t="s">
        <v>1087</v>
      </c>
      <c r="Q187" s="1184"/>
      <c r="R187" s="1184"/>
      <c r="S187" s="1184"/>
      <c r="T187" s="1184"/>
      <c r="U187" s="1184"/>
      <c r="V187" s="1184"/>
      <c r="W187" s="1184"/>
      <c r="X187" s="1184"/>
      <c r="Y187" s="1184"/>
      <c r="Z187" s="1184"/>
      <c r="AA187" s="1184"/>
      <c r="AB187" s="1184"/>
      <c r="AC187" s="1184"/>
      <c r="AD187" s="1184"/>
      <c r="AE187" s="1191"/>
      <c r="AF187" s="2527"/>
      <c r="AG187" s="2528"/>
      <c r="AH187" s="2528"/>
      <c r="AI187" s="2734"/>
      <c r="AJ187" s="2528"/>
      <c r="AK187" s="2528"/>
      <c r="AL187" s="1993"/>
      <c r="AM187" s="1830"/>
      <c r="AN187" s="1830"/>
      <c r="AO187" s="1830"/>
      <c r="AP187" s="1830"/>
      <c r="AQ187" s="1830"/>
      <c r="AR187" s="1830"/>
      <c r="AS187" s="1830"/>
      <c r="AT187" s="1830"/>
      <c r="AU187" s="1830"/>
      <c r="AV187" s="1830"/>
      <c r="AW187" s="1830"/>
      <c r="AX187" s="1830"/>
      <c r="AY187" s="1830"/>
      <c r="AZ187" s="1830"/>
      <c r="BA187" s="1830"/>
      <c r="BB187" s="1830"/>
      <c r="BC187" s="1830"/>
      <c r="BD187" s="1830"/>
      <c r="BE187" s="1830"/>
      <c r="BF187" s="1830"/>
      <c r="BG187" s="1643"/>
    </row>
    <row customHeight="1" ht="11.25">
      <c r="A188" s="1174" t="s">
        <v>1040</v>
      </c>
      <c r="B188" s="1174" t="s">
        <v>1119</v>
      </c>
      <c r="C188" s="1174"/>
      <c r="D188" s="1168"/>
      <c r="E188" s="1178"/>
      <c r="F188" s="1836"/>
      <c r="G188" s="691" t="s">
        <v>103</v>
      </c>
      <c r="H188" s="2536" t="s">
        <v>1156</v>
      </c>
      <c r="I188" s="2537" t="s">
        <v>1121</v>
      </c>
      <c r="J188" s="2506" t="s">
        <v>1125</v>
      </c>
      <c r="K188" s="2538" t="s">
        <v>1157</v>
      </c>
      <c r="L188" s="2128" t="s">
        <v>19</v>
      </c>
      <c r="M188" s="2129"/>
      <c r="N188" s="1991"/>
      <c r="O188" s="1185" t="s">
        <v>393</v>
      </c>
      <c r="P188" s="1186"/>
      <c r="Q188" s="1186"/>
      <c r="R188" s="1186"/>
      <c r="S188" s="1186"/>
      <c r="T188" s="1186"/>
      <c r="U188" s="1186"/>
      <c r="V188" s="1186"/>
      <c r="W188" s="1186"/>
      <c r="X188" s="1186"/>
      <c r="Y188" s="1186"/>
      <c r="Z188" s="1186"/>
      <c r="AA188" s="1186"/>
      <c r="AB188" s="1186"/>
      <c r="AC188" s="1186"/>
      <c r="AD188" s="1186"/>
      <c r="AE188" s="1186"/>
      <c r="AF188" s="2527">
        <v>1</v>
      </c>
      <c r="AG188" s="2528" t="s">
        <v>1076</v>
      </c>
      <c r="AH188" s="2528" t="s">
        <v>1091</v>
      </c>
      <c r="AI188" s="2527">
        <v>1</v>
      </c>
      <c r="AJ188" s="2528" t="s">
        <v>1076</v>
      </c>
      <c r="AK188" s="2528" t="s">
        <v>1091</v>
      </c>
      <c r="AL188" s="1993"/>
      <c r="AM188" s="1830"/>
      <c r="AN188" s="1830"/>
      <c r="AO188" s="1830"/>
      <c r="AP188" s="1830"/>
      <c r="AQ188" s="1830"/>
      <c r="AR188" s="1830"/>
      <c r="AS188" s="1830"/>
      <c r="AT188" s="1830"/>
      <c r="AU188" s="1830"/>
      <c r="AV188" s="1830"/>
      <c r="AW188" s="1830"/>
      <c r="AX188" s="1830"/>
      <c r="AY188" s="1830"/>
      <c r="AZ188" s="1830"/>
      <c r="BA188" s="1830"/>
      <c r="BB188" s="1830"/>
      <c r="BC188" s="1830"/>
      <c r="BD188" s="1830"/>
      <c r="BE188" s="1830"/>
      <c r="BF188" s="1830"/>
      <c r="BG188" s="1643"/>
    </row>
    <row customHeight="1" ht="11.25">
      <c r="A189" s="1174" t="s">
        <v>1040</v>
      </c>
      <c r="B189" s="1174"/>
      <c r="C189" s="1174"/>
      <c r="D189" s="1168"/>
      <c r="E189" s="1178"/>
      <c r="F189" s="1836"/>
      <c r="G189" s="1837"/>
      <c r="H189" s="2536" t="s">
        <v>1154</v>
      </c>
      <c r="I189" s="2537"/>
      <c r="J189" s="2506"/>
      <c r="K189" s="2538"/>
      <c r="L189" s="2128"/>
      <c r="M189" s="2129"/>
      <c r="N189" s="2529"/>
      <c r="O189" s="2530">
        <v>1</v>
      </c>
      <c r="P189" s="2531" t="s">
        <v>61</v>
      </c>
      <c r="Q189" s="2735" t="s">
        <v>1079</v>
      </c>
      <c r="R189" s="2736" t="s">
        <v>1080</v>
      </c>
      <c r="S189" s="2736" t="s">
        <v>99</v>
      </c>
      <c r="T189" s="2736" t="s">
        <v>99</v>
      </c>
      <c r="U189" s="2736" t="s">
        <v>100</v>
      </c>
      <c r="V189" s="2736" t="s">
        <v>1081</v>
      </c>
      <c r="W189" s="2736" t="s">
        <v>1082</v>
      </c>
      <c r="X189" s="2736" t="s">
        <v>1083</v>
      </c>
      <c r="Y189" s="2736" t="s">
        <v>1084</v>
      </c>
      <c r="Z189" s="1183"/>
      <c r="AA189" s="1184"/>
      <c r="AB189" s="1184"/>
      <c r="AC189" s="1188"/>
      <c r="AD189" s="1188"/>
      <c r="AE189" s="1189"/>
      <c r="AF189" s="2527"/>
      <c r="AG189" s="2528"/>
      <c r="AH189" s="2528"/>
      <c r="AI189" s="2527"/>
      <c r="AJ189" s="2528"/>
      <c r="AK189" s="2528"/>
      <c r="AL189" s="1993"/>
      <c r="AM189" s="1830"/>
      <c r="AN189" s="1830"/>
      <c r="AO189" s="1830"/>
      <c r="AP189" s="1830"/>
      <c r="AQ189" s="1830"/>
      <c r="AR189" s="1830"/>
      <c r="AS189" s="1830"/>
      <c r="AT189" s="1830"/>
      <c r="AU189" s="1830"/>
      <c r="AV189" s="1830"/>
      <c r="AW189" s="1830"/>
      <c r="AX189" s="1830"/>
      <c r="AY189" s="1830"/>
      <c r="AZ189" s="1830"/>
      <c r="BA189" s="1830"/>
      <c r="BB189" s="1830"/>
      <c r="BC189" s="1830"/>
      <c r="BD189" s="1830"/>
      <c r="BE189" s="1830"/>
      <c r="BF189" s="1830"/>
      <c r="BG189" s="1643"/>
    </row>
    <row customHeight="1" ht="11.25">
      <c r="A190" s="1174" t="s">
        <v>1040</v>
      </c>
      <c r="B190" s="1174"/>
      <c r="C190" s="1174"/>
      <c r="D190" s="1168"/>
      <c r="E190" s="1178"/>
      <c r="F190" s="1836"/>
      <c r="G190" s="1837"/>
      <c r="H190" s="2536" t="s">
        <v>1154</v>
      </c>
      <c r="I190" s="2537"/>
      <c r="J190" s="2506"/>
      <c r="K190" s="2538"/>
      <c r="L190" s="2128"/>
      <c r="M190" s="2129"/>
      <c r="N190" s="2529"/>
      <c r="O190" s="2530"/>
      <c r="P190" s="2532"/>
      <c r="Q190" s="2735"/>
      <c r="R190" s="2534"/>
      <c r="S190" s="2535"/>
      <c r="T190" s="2534"/>
      <c r="U190" s="2534"/>
      <c r="V190" s="2534"/>
      <c r="W190" s="2534"/>
      <c r="X190" s="2534"/>
      <c r="Y190" s="2534"/>
      <c r="Z190" s="1835"/>
      <c r="AA190" s="1801">
        <v>1</v>
      </c>
      <c r="AB190" s="1187" t="s">
        <v>1114</v>
      </c>
      <c r="AC190" s="1177">
        <v>27482.83</v>
      </c>
      <c r="AD190" s="1187" t="str">
        <f>AB190</f>
        <v>  За счет платы за технологическое присоединение</v>
      </c>
      <c r="AE190" s="1177">
        <v>23090.111</v>
      </c>
      <c r="AF190" s="2527"/>
      <c r="AG190" s="2528"/>
      <c r="AH190" s="2528"/>
      <c r="AI190" s="2527"/>
      <c r="AJ190" s="2528"/>
      <c r="AK190" s="2528"/>
      <c r="AL190" s="1993"/>
      <c r="AM190" s="1830"/>
      <c r="AN190" s="1830"/>
      <c r="AO190" s="1830"/>
      <c r="AP190" s="1830"/>
      <c r="AQ190" s="1830"/>
      <c r="AR190" s="1830"/>
      <c r="AS190" s="1830"/>
      <c r="AT190" s="1830"/>
      <c r="AU190" s="1830"/>
      <c r="AV190" s="1830"/>
      <c r="AW190" s="1830"/>
      <c r="AX190" s="1830"/>
      <c r="AY190" s="1830"/>
      <c r="AZ190" s="1830"/>
      <c r="BA190" s="1830"/>
      <c r="BB190" s="1830"/>
      <c r="BC190" s="1830"/>
      <c r="BD190" s="1830"/>
      <c r="BE190" s="1830"/>
      <c r="BF190" s="1830"/>
      <c r="BG190" s="1643"/>
    </row>
    <row customHeight="1" ht="11.25">
      <c r="A191" s="1174" t="s">
        <v>1040</v>
      </c>
      <c r="B191" s="1174"/>
      <c r="C191" s="1174"/>
      <c r="D191" s="1168"/>
      <c r="E191" s="1178"/>
      <c r="F191" s="1837"/>
      <c r="G191" s="1837"/>
      <c r="H191" s="1837"/>
      <c r="I191" s="1837"/>
      <c r="J191" s="1837"/>
      <c r="K191" s="1837"/>
      <c r="L191" s="1837"/>
      <c r="M191" s="1837"/>
      <c r="N191" s="1837"/>
      <c r="O191" s="1837"/>
      <c r="P191" s="1837"/>
      <c r="Q191" s="1837"/>
      <c r="R191" s="1837"/>
      <c r="S191" s="1837"/>
      <c r="T191" s="1837"/>
      <c r="U191" s="1837"/>
      <c r="V191" s="1837"/>
      <c r="W191" s="1837"/>
      <c r="X191" s="1837"/>
      <c r="Y191" s="1837"/>
      <c r="Z191" s="691" t="s">
        <v>103</v>
      </c>
      <c r="AA191" s="1821" t="s">
        <v>102</v>
      </c>
      <c r="AB191" s="1187" t="s">
        <v>1085</v>
      </c>
      <c r="AC191" s="1177">
        <v>5496.57</v>
      </c>
      <c r="AD191" s="1187" t="str">
        <f>AB191</f>
        <v>  Прочие собственные средства</v>
      </c>
      <c r="AE191" s="1177">
        <v>4618.0222</v>
      </c>
      <c r="AF191" s="2094"/>
      <c r="AG191" s="1766"/>
      <c r="AH191" s="1766"/>
      <c r="AI191" s="2094"/>
      <c r="AJ191" s="1766"/>
      <c r="AK191" s="1992"/>
      <c r="AL191" s="1993"/>
      <c r="AM191" s="1830"/>
      <c r="AN191" s="1830"/>
      <c r="AO191" s="1830"/>
      <c r="AP191" s="1830"/>
      <c r="AQ191" s="1830"/>
      <c r="AR191" s="1830"/>
      <c r="AS191" s="1830"/>
      <c r="AT191" s="1830"/>
      <c r="AU191" s="1830"/>
      <c r="AV191" s="1830"/>
      <c r="AW191" s="1830"/>
      <c r="AX191" s="1830"/>
      <c r="AY191" s="1830"/>
      <c r="AZ191" s="1830"/>
      <c r="BA191" s="1830"/>
      <c r="BB191" s="1830"/>
      <c r="BC191" s="1830"/>
      <c r="BD191" s="1830"/>
      <c r="BE191" s="1830"/>
      <c r="BF191" s="1830"/>
      <c r="BG191" s="1643"/>
    </row>
    <row customHeight="1" ht="11.25">
      <c r="A192" s="1174" t="s">
        <v>1040</v>
      </c>
      <c r="B192" s="1174"/>
      <c r="C192" s="1174"/>
      <c r="D192" s="1168"/>
      <c r="E192" s="1178"/>
      <c r="F192" s="1836"/>
      <c r="G192" s="1837"/>
      <c r="H192" s="2536" t="s">
        <v>1154</v>
      </c>
      <c r="I192" s="2537"/>
      <c r="J192" s="2506"/>
      <c r="K192" s="2538"/>
      <c r="L192" s="2128"/>
      <c r="M192" s="2129"/>
      <c r="N192" s="2529"/>
      <c r="O192" s="2530"/>
      <c r="P192" s="2533"/>
      <c r="Q192" s="2735"/>
      <c r="R192" s="2534"/>
      <c r="S192" s="2535"/>
      <c r="T192" s="2534"/>
      <c r="U192" s="2534"/>
      <c r="V192" s="2534"/>
      <c r="W192" s="2534"/>
      <c r="X192" s="2534"/>
      <c r="Y192" s="2534"/>
      <c r="Z192" s="1183"/>
      <c r="AA192" s="1184"/>
      <c r="AB192" s="1249" t="s">
        <v>1086</v>
      </c>
      <c r="AC192" s="1188"/>
      <c r="AD192" s="1188"/>
      <c r="AE192" s="1190"/>
      <c r="AF192" s="2527"/>
      <c r="AG192" s="2528"/>
      <c r="AH192" s="2528"/>
      <c r="AI192" s="2527"/>
      <c r="AJ192" s="2528"/>
      <c r="AK192" s="2528"/>
      <c r="AL192" s="1993"/>
      <c r="AM192" s="1830"/>
      <c r="AN192" s="1830"/>
      <c r="AO192" s="1830"/>
      <c r="AP192" s="1830"/>
      <c r="AQ192" s="1830"/>
      <c r="AR192" s="1830"/>
      <c r="AS192" s="1830"/>
      <c r="AT192" s="1830"/>
      <c r="AU192" s="1830"/>
      <c r="AV192" s="1830"/>
      <c r="AW192" s="1830"/>
      <c r="AX192" s="1830"/>
      <c r="AY192" s="1830"/>
      <c r="AZ192" s="1830"/>
      <c r="BA192" s="1830"/>
      <c r="BB192" s="1830"/>
      <c r="BC192" s="1830"/>
      <c r="BD192" s="1830"/>
      <c r="BE192" s="1830"/>
      <c r="BF192" s="1830"/>
      <c r="BG192" s="1643"/>
    </row>
    <row customHeight="1" ht="11.25">
      <c r="A193" s="1174" t="s">
        <v>1040</v>
      </c>
      <c r="B193" s="1174"/>
      <c r="C193" s="1174"/>
      <c r="D193" s="1168"/>
      <c r="E193" s="1178"/>
      <c r="F193" s="1836"/>
      <c r="G193" s="1837"/>
      <c r="H193" s="2536" t="s">
        <v>1154</v>
      </c>
      <c r="I193" s="2537"/>
      <c r="J193" s="2506"/>
      <c r="K193" s="2538"/>
      <c r="L193" s="2128"/>
      <c r="M193" s="2129"/>
      <c r="N193" s="1183"/>
      <c r="O193" s="1184"/>
      <c r="P193" s="1176" t="s">
        <v>1087</v>
      </c>
      <c r="Q193" s="1184"/>
      <c r="R193" s="1184"/>
      <c r="S193" s="1184"/>
      <c r="T193" s="1184"/>
      <c r="U193" s="1184"/>
      <c r="V193" s="1184"/>
      <c r="W193" s="1184"/>
      <c r="X193" s="1184"/>
      <c r="Y193" s="1184"/>
      <c r="Z193" s="1184"/>
      <c r="AA193" s="1184"/>
      <c r="AB193" s="1184"/>
      <c r="AC193" s="1184"/>
      <c r="AD193" s="1184"/>
      <c r="AE193" s="1191"/>
      <c r="AF193" s="2527"/>
      <c r="AG193" s="2528"/>
      <c r="AH193" s="2528"/>
      <c r="AI193" s="2527"/>
      <c r="AJ193" s="2528"/>
      <c r="AK193" s="2528"/>
      <c r="AL193" s="1993"/>
      <c r="AM193" s="1830"/>
      <c r="AN193" s="1830"/>
      <c r="AO193" s="1830"/>
      <c r="AP193" s="1830"/>
      <c r="AQ193" s="1830"/>
      <c r="AR193" s="1830"/>
      <c r="AS193" s="1830"/>
      <c r="AT193" s="1830"/>
      <c r="AU193" s="1830"/>
      <c r="AV193" s="1830"/>
      <c r="AW193" s="1830"/>
      <c r="AX193" s="1830"/>
      <c r="AY193" s="1830"/>
      <c r="AZ193" s="1830"/>
      <c r="BA193" s="1830"/>
      <c r="BB193" s="1830"/>
      <c r="BC193" s="1830"/>
      <c r="BD193" s="1830"/>
      <c r="BE193" s="1830"/>
      <c r="BF193" s="1830"/>
      <c r="BG193" s="1643"/>
    </row>
    <row customHeight="1" ht="11.25">
      <c r="A194" s="1174" t="s">
        <v>1040</v>
      </c>
      <c r="B194" s="1174" t="s">
        <v>1119</v>
      </c>
      <c r="C194" s="1174"/>
      <c r="D194" s="1168"/>
      <c r="E194" s="1178"/>
      <c r="F194" s="1836"/>
      <c r="G194" s="691" t="s">
        <v>103</v>
      </c>
      <c r="H194" s="2536" t="s">
        <v>1158</v>
      </c>
      <c r="I194" s="2537" t="s">
        <v>1121</v>
      </c>
      <c r="J194" s="2506" t="s">
        <v>1125</v>
      </c>
      <c r="K194" s="2538" t="s">
        <v>1159</v>
      </c>
      <c r="L194" s="2128" t="s">
        <v>19</v>
      </c>
      <c r="M194" s="2129"/>
      <c r="N194" s="1991"/>
      <c r="O194" s="1185" t="s">
        <v>393</v>
      </c>
      <c r="P194" s="1186"/>
      <c r="Q194" s="1186"/>
      <c r="R194" s="1186"/>
      <c r="S194" s="1186"/>
      <c r="T194" s="1186"/>
      <c r="U194" s="1186"/>
      <c r="V194" s="1186"/>
      <c r="W194" s="1186"/>
      <c r="X194" s="1186"/>
      <c r="Y194" s="1186"/>
      <c r="Z194" s="1186"/>
      <c r="AA194" s="1186"/>
      <c r="AB194" s="1186"/>
      <c r="AC194" s="1186"/>
      <c r="AD194" s="1186"/>
      <c r="AE194" s="1186"/>
      <c r="AF194" s="2527">
        <v>1</v>
      </c>
      <c r="AG194" s="2528" t="s">
        <v>1076</v>
      </c>
      <c r="AH194" s="2528" t="s">
        <v>1091</v>
      </c>
      <c r="AI194" s="2734"/>
      <c r="AJ194" s="2528" t="s">
        <v>1132</v>
      </c>
      <c r="AK194" s="2528" t="s">
        <v>1132</v>
      </c>
      <c r="AL194" s="1993"/>
      <c r="AM194" s="1830"/>
      <c r="AN194" s="1830"/>
      <c r="AO194" s="1830"/>
      <c r="AP194" s="1830"/>
      <c r="AQ194" s="1830"/>
      <c r="AR194" s="1830"/>
      <c r="AS194" s="1830"/>
      <c r="AT194" s="1830"/>
      <c r="AU194" s="1830"/>
      <c r="AV194" s="1830"/>
      <c r="AW194" s="1830"/>
      <c r="AX194" s="1830"/>
      <c r="AY194" s="1830"/>
      <c r="AZ194" s="1830"/>
      <c r="BA194" s="1830"/>
      <c r="BB194" s="1830"/>
      <c r="BC194" s="1830"/>
      <c r="BD194" s="1830"/>
      <c r="BE194" s="1830"/>
      <c r="BF194" s="1830"/>
      <c r="BG194" s="1643"/>
    </row>
    <row customHeight="1" ht="11.25">
      <c r="A195" s="1174" t="s">
        <v>1040</v>
      </c>
      <c r="B195" s="1174"/>
      <c r="C195" s="1174"/>
      <c r="D195" s="1168"/>
      <c r="E195" s="1178"/>
      <c r="F195" s="1836"/>
      <c r="G195" s="1837"/>
      <c r="H195" s="2536" t="s">
        <v>1156</v>
      </c>
      <c r="I195" s="2537"/>
      <c r="J195" s="2506"/>
      <c r="K195" s="2538"/>
      <c r="L195" s="2128"/>
      <c r="M195" s="2129"/>
      <c r="N195" s="2529"/>
      <c r="O195" s="2530">
        <v>1</v>
      </c>
      <c r="P195" s="2531" t="s">
        <v>61</v>
      </c>
      <c r="Q195" s="2735" t="s">
        <v>1079</v>
      </c>
      <c r="R195" s="2736" t="s">
        <v>1080</v>
      </c>
      <c r="S195" s="2736" t="s">
        <v>99</v>
      </c>
      <c r="T195" s="2736" t="s">
        <v>99</v>
      </c>
      <c r="U195" s="2736" t="s">
        <v>100</v>
      </c>
      <c r="V195" s="2736" t="s">
        <v>1081</v>
      </c>
      <c r="W195" s="2736" t="s">
        <v>1082</v>
      </c>
      <c r="X195" s="2736" t="s">
        <v>1083</v>
      </c>
      <c r="Y195" s="2736" t="s">
        <v>1084</v>
      </c>
      <c r="Z195" s="1183"/>
      <c r="AA195" s="1184"/>
      <c r="AB195" s="1184"/>
      <c r="AC195" s="1188"/>
      <c r="AD195" s="1188"/>
      <c r="AE195" s="1189"/>
      <c r="AF195" s="2527"/>
      <c r="AG195" s="2528"/>
      <c r="AH195" s="2528"/>
      <c r="AI195" s="2734"/>
      <c r="AJ195" s="2528"/>
      <c r="AK195" s="2528"/>
      <c r="AL195" s="1993"/>
      <c r="AM195" s="1830"/>
      <c r="AN195" s="1830"/>
      <c r="AO195" s="1830"/>
      <c r="AP195" s="1830"/>
      <c r="AQ195" s="1830"/>
      <c r="AR195" s="1830"/>
      <c r="AS195" s="1830"/>
      <c r="AT195" s="1830"/>
      <c r="AU195" s="1830"/>
      <c r="AV195" s="1830"/>
      <c r="AW195" s="1830"/>
      <c r="AX195" s="1830"/>
      <c r="AY195" s="1830"/>
      <c r="AZ195" s="1830"/>
      <c r="BA195" s="1830"/>
      <c r="BB195" s="1830"/>
      <c r="BC195" s="1830"/>
      <c r="BD195" s="1830"/>
      <c r="BE195" s="1830"/>
      <c r="BF195" s="1830"/>
      <c r="BG195" s="1643"/>
    </row>
    <row customHeight="1" ht="11.25">
      <c r="A196" s="1174" t="s">
        <v>1040</v>
      </c>
      <c r="B196" s="1174"/>
      <c r="C196" s="1174"/>
      <c r="D196" s="1168"/>
      <c r="E196" s="1178"/>
      <c r="F196" s="1836"/>
      <c r="G196" s="1837"/>
      <c r="H196" s="2536" t="s">
        <v>1156</v>
      </c>
      <c r="I196" s="2537"/>
      <c r="J196" s="2506"/>
      <c r="K196" s="2538"/>
      <c r="L196" s="2128"/>
      <c r="M196" s="2129"/>
      <c r="N196" s="2529"/>
      <c r="O196" s="2530"/>
      <c r="P196" s="2532"/>
      <c r="Q196" s="2735"/>
      <c r="R196" s="2534"/>
      <c r="S196" s="2535"/>
      <c r="T196" s="2534"/>
      <c r="U196" s="2534"/>
      <c r="V196" s="2534"/>
      <c r="W196" s="2534"/>
      <c r="X196" s="2534"/>
      <c r="Y196" s="2534"/>
      <c r="Z196" s="1835"/>
      <c r="AA196" s="1801">
        <v>1</v>
      </c>
      <c r="AB196" s="1187" t="s">
        <v>1114</v>
      </c>
      <c r="AC196" s="1177">
        <v>1482.36</v>
      </c>
      <c r="AD196" s="1187" t="str">
        <f>AB196</f>
        <v>  За счет платы за технологическое присоединение</v>
      </c>
      <c r="AE196" s="1177">
        <v>0</v>
      </c>
      <c r="AF196" s="2527"/>
      <c r="AG196" s="2528"/>
      <c r="AH196" s="2528"/>
      <c r="AI196" s="2734"/>
      <c r="AJ196" s="2528"/>
      <c r="AK196" s="2528"/>
      <c r="AL196" s="1993"/>
      <c r="AM196" s="1830"/>
      <c r="AN196" s="1830"/>
      <c r="AO196" s="1830"/>
      <c r="AP196" s="1830"/>
      <c r="AQ196" s="1830"/>
      <c r="AR196" s="1830"/>
      <c r="AS196" s="1830"/>
      <c r="AT196" s="1830"/>
      <c r="AU196" s="1830"/>
      <c r="AV196" s="1830"/>
      <c r="AW196" s="1830"/>
      <c r="AX196" s="1830"/>
      <c r="AY196" s="1830"/>
      <c r="AZ196" s="1830"/>
      <c r="BA196" s="1830"/>
      <c r="BB196" s="1830"/>
      <c r="BC196" s="1830"/>
      <c r="BD196" s="1830"/>
      <c r="BE196" s="1830"/>
      <c r="BF196" s="1830"/>
      <c r="BG196" s="1643"/>
    </row>
    <row customHeight="1" ht="11.25">
      <c r="A197" s="1174" t="s">
        <v>1040</v>
      </c>
      <c r="B197" s="1174"/>
      <c r="C197" s="1174"/>
      <c r="D197" s="1168"/>
      <c r="E197" s="1178"/>
      <c r="F197" s="1837"/>
      <c r="G197" s="1837"/>
      <c r="H197" s="1837"/>
      <c r="I197" s="1837"/>
      <c r="J197" s="1837"/>
      <c r="K197" s="1837"/>
      <c r="L197" s="1837"/>
      <c r="M197" s="1837"/>
      <c r="N197" s="1837"/>
      <c r="O197" s="1837"/>
      <c r="P197" s="1837"/>
      <c r="Q197" s="1837"/>
      <c r="R197" s="1837"/>
      <c r="S197" s="1837"/>
      <c r="T197" s="1837"/>
      <c r="U197" s="1837"/>
      <c r="V197" s="1837"/>
      <c r="W197" s="1837"/>
      <c r="X197" s="1837"/>
      <c r="Y197" s="1837"/>
      <c r="Z197" s="691" t="s">
        <v>103</v>
      </c>
      <c r="AA197" s="1821" t="s">
        <v>102</v>
      </c>
      <c r="AB197" s="1187" t="s">
        <v>1085</v>
      </c>
      <c r="AC197" s="1177">
        <v>296.47</v>
      </c>
      <c r="AD197" s="1187" t="str">
        <f>AB197</f>
        <v>  Прочие собственные средства</v>
      </c>
      <c r="AE197" s="1177">
        <v>0</v>
      </c>
      <c r="AF197" s="2094"/>
      <c r="AG197" s="1766"/>
      <c r="AH197" s="1766"/>
      <c r="AI197" s="2740"/>
      <c r="AJ197" s="1766"/>
      <c r="AK197" s="1992"/>
      <c r="AL197" s="1993"/>
      <c r="AM197" s="1830"/>
      <c r="AN197" s="1830"/>
      <c r="AO197" s="1830"/>
      <c r="AP197" s="1830"/>
      <c r="AQ197" s="1830"/>
      <c r="AR197" s="1830"/>
      <c r="AS197" s="1830"/>
      <c r="AT197" s="1830"/>
      <c r="AU197" s="1830"/>
      <c r="AV197" s="1830"/>
      <c r="AW197" s="1830"/>
      <c r="AX197" s="1830"/>
      <c r="AY197" s="1830"/>
      <c r="AZ197" s="1830"/>
      <c r="BA197" s="1830"/>
      <c r="BB197" s="1830"/>
      <c r="BC197" s="1830"/>
      <c r="BD197" s="1830"/>
      <c r="BE197" s="1830"/>
      <c r="BF197" s="1830"/>
      <c r="BG197" s="1643"/>
    </row>
    <row customHeight="1" ht="11.25">
      <c r="A198" s="1174" t="s">
        <v>1040</v>
      </c>
      <c r="B198" s="1174"/>
      <c r="C198" s="1174"/>
      <c r="D198" s="1168"/>
      <c r="E198" s="1178"/>
      <c r="F198" s="1836"/>
      <c r="G198" s="1837"/>
      <c r="H198" s="2536" t="s">
        <v>1156</v>
      </c>
      <c r="I198" s="2537"/>
      <c r="J198" s="2506"/>
      <c r="K198" s="2538"/>
      <c r="L198" s="2128"/>
      <c r="M198" s="2129"/>
      <c r="N198" s="2529"/>
      <c r="O198" s="2530"/>
      <c r="P198" s="2533"/>
      <c r="Q198" s="2735"/>
      <c r="R198" s="2534"/>
      <c r="S198" s="2535"/>
      <c r="T198" s="2534"/>
      <c r="U198" s="2534"/>
      <c r="V198" s="2534"/>
      <c r="W198" s="2534"/>
      <c r="X198" s="2534"/>
      <c r="Y198" s="2534"/>
      <c r="Z198" s="1183"/>
      <c r="AA198" s="1184"/>
      <c r="AB198" s="1249" t="s">
        <v>1086</v>
      </c>
      <c r="AC198" s="1188"/>
      <c r="AD198" s="1188"/>
      <c r="AE198" s="1190"/>
      <c r="AF198" s="2527"/>
      <c r="AG198" s="2528"/>
      <c r="AH198" s="2528"/>
      <c r="AI198" s="2734"/>
      <c r="AJ198" s="2528"/>
      <c r="AK198" s="2528"/>
      <c r="AL198" s="1993"/>
      <c r="AM198" s="1830"/>
      <c r="AN198" s="1830"/>
      <c r="AO198" s="1830"/>
      <c r="AP198" s="1830"/>
      <c r="AQ198" s="1830"/>
      <c r="AR198" s="1830"/>
      <c r="AS198" s="1830"/>
      <c r="AT198" s="1830"/>
      <c r="AU198" s="1830"/>
      <c r="AV198" s="1830"/>
      <c r="AW198" s="1830"/>
      <c r="AX198" s="1830"/>
      <c r="AY198" s="1830"/>
      <c r="AZ198" s="1830"/>
      <c r="BA198" s="1830"/>
      <c r="BB198" s="1830"/>
      <c r="BC198" s="1830"/>
      <c r="BD198" s="1830"/>
      <c r="BE198" s="1830"/>
      <c r="BF198" s="1830"/>
      <c r="BG198" s="1643"/>
    </row>
    <row customHeight="1" ht="11.25">
      <c r="A199" s="1174" t="s">
        <v>1040</v>
      </c>
      <c r="B199" s="1174"/>
      <c r="C199" s="1174"/>
      <c r="D199" s="1168"/>
      <c r="E199" s="1178"/>
      <c r="F199" s="1836"/>
      <c r="G199" s="1837"/>
      <c r="H199" s="2536" t="s">
        <v>1156</v>
      </c>
      <c r="I199" s="2537"/>
      <c r="J199" s="2506"/>
      <c r="K199" s="2538"/>
      <c r="L199" s="2128"/>
      <c r="M199" s="2129"/>
      <c r="N199" s="1183"/>
      <c r="O199" s="1184"/>
      <c r="P199" s="1176" t="s">
        <v>1087</v>
      </c>
      <c r="Q199" s="1184"/>
      <c r="R199" s="1184"/>
      <c r="S199" s="1184"/>
      <c r="T199" s="1184"/>
      <c r="U199" s="1184"/>
      <c r="V199" s="1184"/>
      <c r="W199" s="1184"/>
      <c r="X199" s="1184"/>
      <c r="Y199" s="1184"/>
      <c r="Z199" s="1184"/>
      <c r="AA199" s="1184"/>
      <c r="AB199" s="1184"/>
      <c r="AC199" s="1184"/>
      <c r="AD199" s="1184"/>
      <c r="AE199" s="1191"/>
      <c r="AF199" s="2527"/>
      <c r="AG199" s="2528"/>
      <c r="AH199" s="2528"/>
      <c r="AI199" s="2734"/>
      <c r="AJ199" s="2528"/>
      <c r="AK199" s="2528"/>
      <c r="AL199" s="1993"/>
      <c r="AM199" s="1830"/>
      <c r="AN199" s="1830"/>
      <c r="AO199" s="1830"/>
      <c r="AP199" s="1830"/>
      <c r="AQ199" s="1830"/>
      <c r="AR199" s="1830"/>
      <c r="AS199" s="1830"/>
      <c r="AT199" s="1830"/>
      <c r="AU199" s="1830"/>
      <c r="AV199" s="1830"/>
      <c r="AW199" s="1830"/>
      <c r="AX199" s="1830"/>
      <c r="AY199" s="1830"/>
      <c r="AZ199" s="1830"/>
      <c r="BA199" s="1830"/>
      <c r="BB199" s="1830"/>
      <c r="BC199" s="1830"/>
      <c r="BD199" s="1830"/>
      <c r="BE199" s="1830"/>
      <c r="BF199" s="1830"/>
      <c r="BG199" s="1643"/>
    </row>
    <row customHeight="1" ht="11.25">
      <c r="A200" s="1174" t="s">
        <v>1040</v>
      </c>
      <c r="B200" s="1174" t="s">
        <v>1119</v>
      </c>
      <c r="C200" s="1174"/>
      <c r="D200" s="1168"/>
      <c r="E200" s="1178"/>
      <c r="F200" s="1836"/>
      <c r="G200" s="691" t="s">
        <v>103</v>
      </c>
      <c r="H200" s="2536" t="s">
        <v>1160</v>
      </c>
      <c r="I200" s="2537" t="s">
        <v>1121</v>
      </c>
      <c r="J200" s="2506" t="s">
        <v>1125</v>
      </c>
      <c r="K200" s="2538" t="s">
        <v>1161</v>
      </c>
      <c r="L200" s="2128" t="s">
        <v>19</v>
      </c>
      <c r="M200" s="2129"/>
      <c r="N200" s="1991"/>
      <c r="O200" s="1185" t="s">
        <v>393</v>
      </c>
      <c r="P200" s="1186"/>
      <c r="Q200" s="1186"/>
      <c r="R200" s="1186"/>
      <c r="S200" s="1186"/>
      <c r="T200" s="1186"/>
      <c r="U200" s="1186"/>
      <c r="V200" s="1186"/>
      <c r="W200" s="1186"/>
      <c r="X200" s="1186"/>
      <c r="Y200" s="1186"/>
      <c r="Z200" s="1186"/>
      <c r="AA200" s="1186"/>
      <c r="AB200" s="1186"/>
      <c r="AC200" s="1186"/>
      <c r="AD200" s="1186"/>
      <c r="AE200" s="1186"/>
      <c r="AF200" s="2527">
        <v>1</v>
      </c>
      <c r="AG200" s="2528" t="s">
        <v>1076</v>
      </c>
      <c r="AH200" s="2528" t="s">
        <v>1091</v>
      </c>
      <c r="AI200" s="2734"/>
      <c r="AJ200" s="2528" t="s">
        <v>1132</v>
      </c>
      <c r="AK200" s="2528" t="s">
        <v>1132</v>
      </c>
      <c r="AL200" s="1993"/>
      <c r="AM200" s="1830"/>
      <c r="AN200" s="1830"/>
      <c r="AO200" s="1830"/>
      <c r="AP200" s="1830"/>
      <c r="AQ200" s="1830"/>
      <c r="AR200" s="1830"/>
      <c r="AS200" s="1830"/>
      <c r="AT200" s="1830"/>
      <c r="AU200" s="1830"/>
      <c r="AV200" s="1830"/>
      <c r="AW200" s="1830"/>
      <c r="AX200" s="1830"/>
      <c r="AY200" s="1830"/>
      <c r="AZ200" s="1830"/>
      <c r="BA200" s="1830"/>
      <c r="BB200" s="1830"/>
      <c r="BC200" s="1830"/>
      <c r="BD200" s="1830"/>
      <c r="BE200" s="1830"/>
      <c r="BF200" s="1830"/>
      <c r="BG200" s="1643"/>
    </row>
    <row customHeight="1" ht="11.25">
      <c r="A201" s="1174" t="s">
        <v>1040</v>
      </c>
      <c r="B201" s="1174"/>
      <c r="C201" s="1174"/>
      <c r="D201" s="1168"/>
      <c r="E201" s="1178"/>
      <c r="F201" s="1836"/>
      <c r="G201" s="1837"/>
      <c r="H201" s="2536" t="s">
        <v>1158</v>
      </c>
      <c r="I201" s="2537"/>
      <c r="J201" s="2506"/>
      <c r="K201" s="2538"/>
      <c r="L201" s="2128"/>
      <c r="M201" s="2129"/>
      <c r="N201" s="2529"/>
      <c r="O201" s="2530">
        <v>1</v>
      </c>
      <c r="P201" s="2531" t="s">
        <v>61</v>
      </c>
      <c r="Q201" s="2735" t="s">
        <v>1079</v>
      </c>
      <c r="R201" s="2736" t="s">
        <v>1080</v>
      </c>
      <c r="S201" s="2736" t="s">
        <v>99</v>
      </c>
      <c r="T201" s="2736" t="s">
        <v>99</v>
      </c>
      <c r="U201" s="2736" t="s">
        <v>100</v>
      </c>
      <c r="V201" s="2736" t="s">
        <v>1081</v>
      </c>
      <c r="W201" s="2736" t="s">
        <v>1082</v>
      </c>
      <c r="X201" s="2736" t="s">
        <v>1083</v>
      </c>
      <c r="Y201" s="2736" t="s">
        <v>1084</v>
      </c>
      <c r="Z201" s="1183"/>
      <c r="AA201" s="1184"/>
      <c r="AB201" s="1184"/>
      <c r="AC201" s="1188"/>
      <c r="AD201" s="1188"/>
      <c r="AE201" s="1189"/>
      <c r="AF201" s="2527"/>
      <c r="AG201" s="2528"/>
      <c r="AH201" s="2528"/>
      <c r="AI201" s="2734"/>
      <c r="AJ201" s="2528"/>
      <c r="AK201" s="2528"/>
      <c r="AL201" s="1993"/>
      <c r="AM201" s="1830"/>
      <c r="AN201" s="1830"/>
      <c r="AO201" s="1830"/>
      <c r="AP201" s="1830"/>
      <c r="AQ201" s="1830"/>
      <c r="AR201" s="1830"/>
      <c r="AS201" s="1830"/>
      <c r="AT201" s="1830"/>
      <c r="AU201" s="1830"/>
      <c r="AV201" s="1830"/>
      <c r="AW201" s="1830"/>
      <c r="AX201" s="1830"/>
      <c r="AY201" s="1830"/>
      <c r="AZ201" s="1830"/>
      <c r="BA201" s="1830"/>
      <c r="BB201" s="1830"/>
      <c r="BC201" s="1830"/>
      <c r="BD201" s="1830"/>
      <c r="BE201" s="1830"/>
      <c r="BF201" s="1830"/>
      <c r="BG201" s="1643"/>
    </row>
    <row customHeight="1" ht="11.25">
      <c r="A202" s="1174" t="s">
        <v>1040</v>
      </c>
      <c r="B202" s="1174"/>
      <c r="C202" s="1174"/>
      <c r="D202" s="1168"/>
      <c r="E202" s="1178"/>
      <c r="F202" s="1836"/>
      <c r="G202" s="1837"/>
      <c r="H202" s="2536" t="s">
        <v>1158</v>
      </c>
      <c r="I202" s="2537"/>
      <c r="J202" s="2506"/>
      <c r="K202" s="2538"/>
      <c r="L202" s="2128"/>
      <c r="M202" s="2129"/>
      <c r="N202" s="2529"/>
      <c r="O202" s="2530"/>
      <c r="P202" s="2532"/>
      <c r="Q202" s="2735"/>
      <c r="R202" s="2534"/>
      <c r="S202" s="2535"/>
      <c r="T202" s="2534"/>
      <c r="U202" s="2534"/>
      <c r="V202" s="2534"/>
      <c r="W202" s="2534"/>
      <c r="X202" s="2534"/>
      <c r="Y202" s="2534"/>
      <c r="Z202" s="1835"/>
      <c r="AA202" s="1801">
        <v>1</v>
      </c>
      <c r="AB202" s="1187" t="s">
        <v>1114</v>
      </c>
      <c r="AC202" s="1177">
        <v>18173.55</v>
      </c>
      <c r="AD202" s="1187" t="str">
        <f>AB202</f>
        <v>  За счет платы за технологическое присоединение</v>
      </c>
      <c r="AE202" s="1177">
        <v>0</v>
      </c>
      <c r="AF202" s="2527"/>
      <c r="AG202" s="2528"/>
      <c r="AH202" s="2528"/>
      <c r="AI202" s="2734"/>
      <c r="AJ202" s="2528"/>
      <c r="AK202" s="2528"/>
      <c r="AL202" s="1993"/>
      <c r="AM202" s="1830"/>
      <c r="AN202" s="1830"/>
      <c r="AO202" s="1830"/>
      <c r="AP202" s="1830"/>
      <c r="AQ202" s="1830"/>
      <c r="AR202" s="1830"/>
      <c r="AS202" s="1830"/>
      <c r="AT202" s="1830"/>
      <c r="AU202" s="1830"/>
      <c r="AV202" s="1830"/>
      <c r="AW202" s="1830"/>
      <c r="AX202" s="1830"/>
      <c r="AY202" s="1830"/>
      <c r="AZ202" s="1830"/>
      <c r="BA202" s="1830"/>
      <c r="BB202" s="1830"/>
      <c r="BC202" s="1830"/>
      <c r="BD202" s="1830"/>
      <c r="BE202" s="1830"/>
      <c r="BF202" s="1830"/>
      <c r="BG202" s="1643"/>
    </row>
    <row customHeight="1" ht="11.25">
      <c r="A203" s="1174" t="s">
        <v>1040</v>
      </c>
      <c r="B203" s="1174"/>
      <c r="C203" s="1174"/>
      <c r="D203" s="1168"/>
      <c r="E203" s="1178"/>
      <c r="F203" s="1837"/>
      <c r="G203" s="1837"/>
      <c r="H203" s="1837"/>
      <c r="I203" s="1837"/>
      <c r="J203" s="1837"/>
      <c r="K203" s="1837"/>
      <c r="L203" s="1837"/>
      <c r="M203" s="1837"/>
      <c r="N203" s="1837"/>
      <c r="O203" s="1837"/>
      <c r="P203" s="1837"/>
      <c r="Q203" s="1837"/>
      <c r="R203" s="1837"/>
      <c r="S203" s="1837"/>
      <c r="T203" s="1837"/>
      <c r="U203" s="1837"/>
      <c r="V203" s="1837"/>
      <c r="W203" s="1837"/>
      <c r="X203" s="1837"/>
      <c r="Y203" s="1837"/>
      <c r="Z203" s="691" t="s">
        <v>103</v>
      </c>
      <c r="AA203" s="1821" t="s">
        <v>102</v>
      </c>
      <c r="AB203" s="1187" t="s">
        <v>1085</v>
      </c>
      <c r="AC203" s="1177">
        <v>3634.71</v>
      </c>
      <c r="AD203" s="1187" t="str">
        <f>AB203</f>
        <v>  Прочие собственные средства</v>
      </c>
      <c r="AE203" s="1177">
        <v>0</v>
      </c>
      <c r="AF203" s="2094"/>
      <c r="AG203" s="1766"/>
      <c r="AH203" s="1766"/>
      <c r="AI203" s="2740"/>
      <c r="AJ203" s="1766"/>
      <c r="AK203" s="1992"/>
      <c r="AL203" s="1993"/>
      <c r="AM203" s="1830"/>
      <c r="AN203" s="1830"/>
      <c r="AO203" s="1830"/>
      <c r="AP203" s="1830"/>
      <c r="AQ203" s="1830"/>
      <c r="AR203" s="1830"/>
      <c r="AS203" s="1830"/>
      <c r="AT203" s="1830"/>
      <c r="AU203" s="1830"/>
      <c r="AV203" s="1830"/>
      <c r="AW203" s="1830"/>
      <c r="AX203" s="1830"/>
      <c r="AY203" s="1830"/>
      <c r="AZ203" s="1830"/>
      <c r="BA203" s="1830"/>
      <c r="BB203" s="1830"/>
      <c r="BC203" s="1830"/>
      <c r="BD203" s="1830"/>
      <c r="BE203" s="1830"/>
      <c r="BF203" s="1830"/>
      <c r="BG203" s="1643"/>
    </row>
    <row customHeight="1" ht="11.25">
      <c r="A204" s="1174" t="s">
        <v>1040</v>
      </c>
      <c r="B204" s="1174"/>
      <c r="C204" s="1174"/>
      <c r="D204" s="1168"/>
      <c r="E204" s="1178"/>
      <c r="F204" s="1836"/>
      <c r="G204" s="1837"/>
      <c r="H204" s="2536" t="s">
        <v>1158</v>
      </c>
      <c r="I204" s="2537"/>
      <c r="J204" s="2506"/>
      <c r="K204" s="2538"/>
      <c r="L204" s="2128"/>
      <c r="M204" s="2129"/>
      <c r="N204" s="2529"/>
      <c r="O204" s="2530"/>
      <c r="P204" s="2533"/>
      <c r="Q204" s="2735"/>
      <c r="R204" s="2534"/>
      <c r="S204" s="2535"/>
      <c r="T204" s="2534"/>
      <c r="U204" s="2534"/>
      <c r="V204" s="2534"/>
      <c r="W204" s="2534"/>
      <c r="X204" s="2534"/>
      <c r="Y204" s="2534"/>
      <c r="Z204" s="1183"/>
      <c r="AA204" s="1184"/>
      <c r="AB204" s="1249" t="s">
        <v>1086</v>
      </c>
      <c r="AC204" s="1188"/>
      <c r="AD204" s="1188"/>
      <c r="AE204" s="1190"/>
      <c r="AF204" s="2527"/>
      <c r="AG204" s="2528"/>
      <c r="AH204" s="2528"/>
      <c r="AI204" s="2734"/>
      <c r="AJ204" s="2528"/>
      <c r="AK204" s="2528"/>
      <c r="AL204" s="1993"/>
      <c r="AM204" s="1830"/>
      <c r="AN204" s="1830"/>
      <c r="AO204" s="1830"/>
      <c r="AP204" s="1830"/>
      <c r="AQ204" s="1830"/>
      <c r="AR204" s="1830"/>
      <c r="AS204" s="1830"/>
      <c r="AT204" s="1830"/>
      <c r="AU204" s="1830"/>
      <c r="AV204" s="1830"/>
      <c r="AW204" s="1830"/>
      <c r="AX204" s="1830"/>
      <c r="AY204" s="1830"/>
      <c r="AZ204" s="1830"/>
      <c r="BA204" s="1830"/>
      <c r="BB204" s="1830"/>
      <c r="BC204" s="1830"/>
      <c r="BD204" s="1830"/>
      <c r="BE204" s="1830"/>
      <c r="BF204" s="1830"/>
      <c r="BG204" s="1643"/>
    </row>
    <row customHeight="1" ht="11.25">
      <c r="A205" s="1174" t="s">
        <v>1040</v>
      </c>
      <c r="B205" s="1174"/>
      <c r="C205" s="1174"/>
      <c r="D205" s="1168"/>
      <c r="E205" s="1178"/>
      <c r="F205" s="1836"/>
      <c r="G205" s="1837"/>
      <c r="H205" s="2536" t="s">
        <v>1158</v>
      </c>
      <c r="I205" s="2537"/>
      <c r="J205" s="2506"/>
      <c r="K205" s="2538"/>
      <c r="L205" s="2128"/>
      <c r="M205" s="2129"/>
      <c r="N205" s="1183"/>
      <c r="O205" s="1184"/>
      <c r="P205" s="1176" t="s">
        <v>1087</v>
      </c>
      <c r="Q205" s="1184"/>
      <c r="R205" s="1184"/>
      <c r="S205" s="1184"/>
      <c r="T205" s="1184"/>
      <c r="U205" s="1184"/>
      <c r="V205" s="1184"/>
      <c r="W205" s="1184"/>
      <c r="X205" s="1184"/>
      <c r="Y205" s="1184"/>
      <c r="Z205" s="1184"/>
      <c r="AA205" s="1184"/>
      <c r="AB205" s="1184"/>
      <c r="AC205" s="1184"/>
      <c r="AD205" s="1184"/>
      <c r="AE205" s="1191"/>
      <c r="AF205" s="2527"/>
      <c r="AG205" s="2528"/>
      <c r="AH205" s="2528"/>
      <c r="AI205" s="2734"/>
      <c r="AJ205" s="2528"/>
      <c r="AK205" s="2528"/>
      <c r="AL205" s="1993"/>
      <c r="AM205" s="1830"/>
      <c r="AN205" s="1830"/>
      <c r="AO205" s="1830"/>
      <c r="AP205" s="1830"/>
      <c r="AQ205" s="1830"/>
      <c r="AR205" s="1830"/>
      <c r="AS205" s="1830"/>
      <c r="AT205" s="1830"/>
      <c r="AU205" s="1830"/>
      <c r="AV205" s="1830"/>
      <c r="AW205" s="1830"/>
      <c r="AX205" s="1830"/>
      <c r="AY205" s="1830"/>
      <c r="AZ205" s="1830"/>
      <c r="BA205" s="1830"/>
      <c r="BB205" s="1830"/>
      <c r="BC205" s="1830"/>
      <c r="BD205" s="1830"/>
      <c r="BE205" s="1830"/>
      <c r="BF205" s="1830"/>
      <c r="BG205" s="1643"/>
    </row>
    <row customHeight="1" ht="11.25">
      <c r="A206" s="1174" t="s">
        <v>1040</v>
      </c>
      <c r="B206" s="1174" t="s">
        <v>1119</v>
      </c>
      <c r="C206" s="1174"/>
      <c r="D206" s="1168"/>
      <c r="E206" s="1178"/>
      <c r="F206" s="1836"/>
      <c r="G206" s="691" t="s">
        <v>103</v>
      </c>
      <c r="H206" s="2536" t="s">
        <v>1162</v>
      </c>
      <c r="I206" s="2537" t="s">
        <v>1121</v>
      </c>
      <c r="J206" s="2506" t="s">
        <v>1125</v>
      </c>
      <c r="K206" s="2538" t="s">
        <v>1163</v>
      </c>
      <c r="L206" s="2128" t="s">
        <v>19</v>
      </c>
      <c r="M206" s="2129"/>
      <c r="N206" s="1991"/>
      <c r="O206" s="1185" t="s">
        <v>393</v>
      </c>
      <c r="P206" s="1186"/>
      <c r="Q206" s="1186"/>
      <c r="R206" s="1186"/>
      <c r="S206" s="1186"/>
      <c r="T206" s="1186"/>
      <c r="U206" s="1186"/>
      <c r="V206" s="1186"/>
      <c r="W206" s="1186"/>
      <c r="X206" s="1186"/>
      <c r="Y206" s="1186"/>
      <c r="Z206" s="1186"/>
      <c r="AA206" s="1186"/>
      <c r="AB206" s="1186"/>
      <c r="AC206" s="1186"/>
      <c r="AD206" s="1186"/>
      <c r="AE206" s="1186"/>
      <c r="AF206" s="2527">
        <v>1</v>
      </c>
      <c r="AG206" s="2528" t="s">
        <v>1076</v>
      </c>
      <c r="AH206" s="2528" t="s">
        <v>1091</v>
      </c>
      <c r="AI206" s="2734"/>
      <c r="AJ206" s="2528" t="s">
        <v>1132</v>
      </c>
      <c r="AK206" s="2528" t="s">
        <v>1132</v>
      </c>
      <c r="AL206" s="1993"/>
      <c r="AM206" s="1830"/>
      <c r="AN206" s="1830"/>
      <c r="AO206" s="1830"/>
      <c r="AP206" s="1830"/>
      <c r="AQ206" s="1830"/>
      <c r="AR206" s="1830"/>
      <c r="AS206" s="1830"/>
      <c r="AT206" s="1830"/>
      <c r="AU206" s="1830"/>
      <c r="AV206" s="1830"/>
      <c r="AW206" s="1830"/>
      <c r="AX206" s="1830"/>
      <c r="AY206" s="1830"/>
      <c r="AZ206" s="1830"/>
      <c r="BA206" s="1830"/>
      <c r="BB206" s="1830"/>
      <c r="BC206" s="1830"/>
      <c r="BD206" s="1830"/>
      <c r="BE206" s="1830"/>
      <c r="BF206" s="1830"/>
      <c r="BG206" s="1643"/>
    </row>
    <row customHeight="1" ht="11.25">
      <c r="A207" s="1174" t="s">
        <v>1040</v>
      </c>
      <c r="B207" s="1174"/>
      <c r="C207" s="1174"/>
      <c r="D207" s="1168"/>
      <c r="E207" s="1178"/>
      <c r="F207" s="1836"/>
      <c r="G207" s="1837"/>
      <c r="H207" s="2536" t="s">
        <v>1160</v>
      </c>
      <c r="I207" s="2537"/>
      <c r="J207" s="2506"/>
      <c r="K207" s="2538"/>
      <c r="L207" s="2128"/>
      <c r="M207" s="2129"/>
      <c r="N207" s="2529"/>
      <c r="O207" s="2530">
        <v>1</v>
      </c>
      <c r="P207" s="2531" t="s">
        <v>61</v>
      </c>
      <c r="Q207" s="2735" t="s">
        <v>1079</v>
      </c>
      <c r="R207" s="2736" t="s">
        <v>1080</v>
      </c>
      <c r="S207" s="2736" t="s">
        <v>99</v>
      </c>
      <c r="T207" s="2736" t="s">
        <v>99</v>
      </c>
      <c r="U207" s="2736" t="s">
        <v>100</v>
      </c>
      <c r="V207" s="2736" t="s">
        <v>1081</v>
      </c>
      <c r="W207" s="2736" t="s">
        <v>1082</v>
      </c>
      <c r="X207" s="2736" t="s">
        <v>1083</v>
      </c>
      <c r="Y207" s="2736" t="s">
        <v>1084</v>
      </c>
      <c r="Z207" s="1183"/>
      <c r="AA207" s="1184"/>
      <c r="AB207" s="1184"/>
      <c r="AC207" s="1188"/>
      <c r="AD207" s="1188"/>
      <c r="AE207" s="1189"/>
      <c r="AF207" s="2527"/>
      <c r="AG207" s="2528"/>
      <c r="AH207" s="2528"/>
      <c r="AI207" s="2734"/>
      <c r="AJ207" s="2528"/>
      <c r="AK207" s="2528"/>
      <c r="AL207" s="1993"/>
      <c r="AM207" s="1830"/>
      <c r="AN207" s="1830"/>
      <c r="AO207" s="1830"/>
      <c r="AP207" s="1830"/>
      <c r="AQ207" s="1830"/>
      <c r="AR207" s="1830"/>
      <c r="AS207" s="1830"/>
      <c r="AT207" s="1830"/>
      <c r="AU207" s="1830"/>
      <c r="AV207" s="1830"/>
      <c r="AW207" s="1830"/>
      <c r="AX207" s="1830"/>
      <c r="AY207" s="1830"/>
      <c r="AZ207" s="1830"/>
      <c r="BA207" s="1830"/>
      <c r="BB207" s="1830"/>
      <c r="BC207" s="1830"/>
      <c r="BD207" s="1830"/>
      <c r="BE207" s="1830"/>
      <c r="BF207" s="1830"/>
      <c r="BG207" s="1643"/>
    </row>
    <row customHeight="1" ht="11.25">
      <c r="A208" s="1174" t="s">
        <v>1040</v>
      </c>
      <c r="B208" s="1174"/>
      <c r="C208" s="1174"/>
      <c r="D208" s="1168"/>
      <c r="E208" s="1178"/>
      <c r="F208" s="1836"/>
      <c r="G208" s="1837"/>
      <c r="H208" s="2536" t="s">
        <v>1160</v>
      </c>
      <c r="I208" s="2537"/>
      <c r="J208" s="2506"/>
      <c r="K208" s="2538"/>
      <c r="L208" s="2128"/>
      <c r="M208" s="2129"/>
      <c r="N208" s="2529"/>
      <c r="O208" s="2530"/>
      <c r="P208" s="2532"/>
      <c r="Q208" s="2735"/>
      <c r="R208" s="2534"/>
      <c r="S208" s="2535"/>
      <c r="T208" s="2534"/>
      <c r="U208" s="2534"/>
      <c r="V208" s="2534"/>
      <c r="W208" s="2534"/>
      <c r="X208" s="2534"/>
      <c r="Y208" s="2534"/>
      <c r="Z208" s="1835"/>
      <c r="AA208" s="1801">
        <v>1</v>
      </c>
      <c r="AB208" s="1187" t="s">
        <v>1114</v>
      </c>
      <c r="AC208" s="1177">
        <v>1356.05</v>
      </c>
      <c r="AD208" s="1187" t="str">
        <f>AB208</f>
        <v>  За счет платы за технологическое присоединение</v>
      </c>
      <c r="AE208" s="1177">
        <v>0</v>
      </c>
      <c r="AF208" s="2527"/>
      <c r="AG208" s="2528"/>
      <c r="AH208" s="2528"/>
      <c r="AI208" s="2734"/>
      <c r="AJ208" s="2528"/>
      <c r="AK208" s="2528"/>
      <c r="AL208" s="1993"/>
      <c r="AM208" s="1830"/>
      <c r="AN208" s="1830"/>
      <c r="AO208" s="1830"/>
      <c r="AP208" s="1830"/>
      <c r="AQ208" s="1830"/>
      <c r="AR208" s="1830"/>
      <c r="AS208" s="1830"/>
      <c r="AT208" s="1830"/>
      <c r="AU208" s="1830"/>
      <c r="AV208" s="1830"/>
      <c r="AW208" s="1830"/>
      <c r="AX208" s="1830"/>
      <c r="AY208" s="1830"/>
      <c r="AZ208" s="1830"/>
      <c r="BA208" s="1830"/>
      <c r="BB208" s="1830"/>
      <c r="BC208" s="1830"/>
      <c r="BD208" s="1830"/>
      <c r="BE208" s="1830"/>
      <c r="BF208" s="1830"/>
      <c r="BG208" s="1643"/>
    </row>
    <row customHeight="1" ht="11.25">
      <c r="A209" s="1174" t="s">
        <v>1040</v>
      </c>
      <c r="B209" s="1174"/>
      <c r="C209" s="1174"/>
      <c r="D209" s="1168"/>
      <c r="E209" s="1178"/>
      <c r="F209" s="1837"/>
      <c r="G209" s="1837"/>
      <c r="H209" s="1837"/>
      <c r="I209" s="1837"/>
      <c r="J209" s="1837"/>
      <c r="K209" s="1837"/>
      <c r="L209" s="1837"/>
      <c r="M209" s="1837"/>
      <c r="N209" s="1837"/>
      <c r="O209" s="1837"/>
      <c r="P209" s="1837"/>
      <c r="Q209" s="1837"/>
      <c r="R209" s="1837"/>
      <c r="S209" s="1837"/>
      <c r="T209" s="1837"/>
      <c r="U209" s="1837"/>
      <c r="V209" s="1837"/>
      <c r="W209" s="1837"/>
      <c r="X209" s="1837"/>
      <c r="Y209" s="1837"/>
      <c r="Z209" s="691" t="s">
        <v>103</v>
      </c>
      <c r="AA209" s="1821" t="s">
        <v>102</v>
      </c>
      <c r="AB209" s="1187" t="s">
        <v>1085</v>
      </c>
      <c r="AC209" s="1177">
        <v>271.21</v>
      </c>
      <c r="AD209" s="1187" t="str">
        <f>AB209</f>
        <v>  Прочие собственные средства</v>
      </c>
      <c r="AE209" s="1177">
        <v>0</v>
      </c>
      <c r="AF209" s="2094"/>
      <c r="AG209" s="1766"/>
      <c r="AH209" s="1766"/>
      <c r="AI209" s="2740"/>
      <c r="AJ209" s="1766"/>
      <c r="AK209" s="1992"/>
      <c r="AL209" s="1993"/>
      <c r="AM209" s="1830"/>
      <c r="AN209" s="1830"/>
      <c r="AO209" s="1830"/>
      <c r="AP209" s="1830"/>
      <c r="AQ209" s="1830"/>
      <c r="AR209" s="1830"/>
      <c r="AS209" s="1830"/>
      <c r="AT209" s="1830"/>
      <c r="AU209" s="1830"/>
      <c r="AV209" s="1830"/>
      <c r="AW209" s="1830"/>
      <c r="AX209" s="1830"/>
      <c r="AY209" s="1830"/>
      <c r="AZ209" s="1830"/>
      <c r="BA209" s="1830"/>
      <c r="BB209" s="1830"/>
      <c r="BC209" s="1830"/>
      <c r="BD209" s="1830"/>
      <c r="BE209" s="1830"/>
      <c r="BF209" s="1830"/>
      <c r="BG209" s="1643"/>
    </row>
    <row customHeight="1" ht="11.25">
      <c r="A210" s="1174" t="s">
        <v>1040</v>
      </c>
      <c r="B210" s="1174"/>
      <c r="C210" s="1174"/>
      <c r="D210" s="1168"/>
      <c r="E210" s="1178"/>
      <c r="F210" s="1836"/>
      <c r="G210" s="1837"/>
      <c r="H210" s="2536" t="s">
        <v>1160</v>
      </c>
      <c r="I210" s="2537"/>
      <c r="J210" s="2506"/>
      <c r="K210" s="2538"/>
      <c r="L210" s="2128"/>
      <c r="M210" s="2129"/>
      <c r="N210" s="2529"/>
      <c r="O210" s="2530"/>
      <c r="P210" s="2533"/>
      <c r="Q210" s="2735"/>
      <c r="R210" s="2534"/>
      <c r="S210" s="2535"/>
      <c r="T210" s="2534"/>
      <c r="U210" s="2534"/>
      <c r="V210" s="2534"/>
      <c r="W210" s="2534"/>
      <c r="X210" s="2534"/>
      <c r="Y210" s="2534"/>
      <c r="Z210" s="1183"/>
      <c r="AA210" s="1184"/>
      <c r="AB210" s="1249" t="s">
        <v>1086</v>
      </c>
      <c r="AC210" s="1188"/>
      <c r="AD210" s="1188"/>
      <c r="AE210" s="1190"/>
      <c r="AF210" s="2527"/>
      <c r="AG210" s="2528"/>
      <c r="AH210" s="2528"/>
      <c r="AI210" s="2734"/>
      <c r="AJ210" s="2528"/>
      <c r="AK210" s="2528"/>
      <c r="AL210" s="1993"/>
      <c r="AM210" s="1830"/>
      <c r="AN210" s="1830"/>
      <c r="AO210" s="1830"/>
      <c r="AP210" s="1830"/>
      <c r="AQ210" s="1830"/>
      <c r="AR210" s="1830"/>
      <c r="AS210" s="1830"/>
      <c r="AT210" s="1830"/>
      <c r="AU210" s="1830"/>
      <c r="AV210" s="1830"/>
      <c r="AW210" s="1830"/>
      <c r="AX210" s="1830"/>
      <c r="AY210" s="1830"/>
      <c r="AZ210" s="1830"/>
      <c r="BA210" s="1830"/>
      <c r="BB210" s="1830"/>
      <c r="BC210" s="1830"/>
      <c r="BD210" s="1830"/>
      <c r="BE210" s="1830"/>
      <c r="BF210" s="1830"/>
      <c r="BG210" s="1643"/>
    </row>
    <row customHeight="1" ht="11.25">
      <c r="A211" s="1174" t="s">
        <v>1040</v>
      </c>
      <c r="B211" s="1174"/>
      <c r="C211" s="1174"/>
      <c r="D211" s="1168"/>
      <c r="E211" s="1178"/>
      <c r="F211" s="1836"/>
      <c r="G211" s="1837"/>
      <c r="H211" s="2536" t="s">
        <v>1160</v>
      </c>
      <c r="I211" s="2537"/>
      <c r="J211" s="2506"/>
      <c r="K211" s="2538"/>
      <c r="L211" s="2128"/>
      <c r="M211" s="2129"/>
      <c r="N211" s="1183"/>
      <c r="O211" s="1184"/>
      <c r="P211" s="1176" t="s">
        <v>1087</v>
      </c>
      <c r="Q211" s="1184"/>
      <c r="R211" s="1184"/>
      <c r="S211" s="1184"/>
      <c r="T211" s="1184"/>
      <c r="U211" s="1184"/>
      <c r="V211" s="1184"/>
      <c r="W211" s="1184"/>
      <c r="X211" s="1184"/>
      <c r="Y211" s="1184"/>
      <c r="Z211" s="1184"/>
      <c r="AA211" s="1184"/>
      <c r="AB211" s="1184"/>
      <c r="AC211" s="1184"/>
      <c r="AD211" s="1184"/>
      <c r="AE211" s="1191"/>
      <c r="AF211" s="2527"/>
      <c r="AG211" s="2528"/>
      <c r="AH211" s="2528"/>
      <c r="AI211" s="2734"/>
      <c r="AJ211" s="2528"/>
      <c r="AK211" s="2528"/>
      <c r="AL211" s="1993"/>
      <c r="AM211" s="1830"/>
      <c r="AN211" s="1830"/>
      <c r="AO211" s="1830"/>
      <c r="AP211" s="1830"/>
      <c r="AQ211" s="1830"/>
      <c r="AR211" s="1830"/>
      <c r="AS211" s="1830"/>
      <c r="AT211" s="1830"/>
      <c r="AU211" s="1830"/>
      <c r="AV211" s="1830"/>
      <c r="AW211" s="1830"/>
      <c r="AX211" s="1830"/>
      <c r="AY211" s="1830"/>
      <c r="AZ211" s="1830"/>
      <c r="BA211" s="1830"/>
      <c r="BB211" s="1830"/>
      <c r="BC211" s="1830"/>
      <c r="BD211" s="1830"/>
      <c r="BE211" s="1830"/>
      <c r="BF211" s="1830"/>
      <c r="BG211" s="1643"/>
    </row>
    <row customHeight="1" ht="11.25">
      <c r="A212" s="1174" t="s">
        <v>1040</v>
      </c>
      <c r="B212" s="1174" t="s">
        <v>1119</v>
      </c>
      <c r="C212" s="1174"/>
      <c r="D212" s="1168"/>
      <c r="E212" s="1178"/>
      <c r="F212" s="1836"/>
      <c r="G212" s="691" t="s">
        <v>103</v>
      </c>
      <c r="H212" s="2536" t="s">
        <v>1164</v>
      </c>
      <c r="I212" s="2537" t="s">
        <v>1121</v>
      </c>
      <c r="J212" s="2506" t="s">
        <v>1125</v>
      </c>
      <c r="K212" s="2538" t="s">
        <v>1165</v>
      </c>
      <c r="L212" s="2128" t="s">
        <v>19</v>
      </c>
      <c r="M212" s="2129"/>
      <c r="N212" s="1991"/>
      <c r="O212" s="1185" t="s">
        <v>393</v>
      </c>
      <c r="P212" s="1186"/>
      <c r="Q212" s="1186"/>
      <c r="R212" s="1186"/>
      <c r="S212" s="1186"/>
      <c r="T212" s="1186"/>
      <c r="U212" s="1186"/>
      <c r="V212" s="1186"/>
      <c r="W212" s="1186"/>
      <c r="X212" s="1186"/>
      <c r="Y212" s="1186"/>
      <c r="Z212" s="1186"/>
      <c r="AA212" s="1186"/>
      <c r="AB212" s="1186"/>
      <c r="AC212" s="1186"/>
      <c r="AD212" s="1186"/>
      <c r="AE212" s="1186"/>
      <c r="AF212" s="2527">
        <v>1</v>
      </c>
      <c r="AG212" s="2528" t="s">
        <v>1076</v>
      </c>
      <c r="AH212" s="2528" t="s">
        <v>1091</v>
      </c>
      <c r="AI212" s="2734"/>
      <c r="AJ212" s="2528" t="s">
        <v>1132</v>
      </c>
      <c r="AK212" s="2528" t="s">
        <v>1132</v>
      </c>
      <c r="AL212" s="1993"/>
      <c r="AM212" s="1830"/>
      <c r="AN212" s="1830"/>
      <c r="AO212" s="1830"/>
      <c r="AP212" s="1830"/>
      <c r="AQ212" s="1830"/>
      <c r="AR212" s="1830"/>
      <c r="AS212" s="1830"/>
      <c r="AT212" s="1830"/>
      <c r="AU212" s="1830"/>
      <c r="AV212" s="1830"/>
      <c r="AW212" s="1830"/>
      <c r="AX212" s="1830"/>
      <c r="AY212" s="1830"/>
      <c r="AZ212" s="1830"/>
      <c r="BA212" s="1830"/>
      <c r="BB212" s="1830"/>
      <c r="BC212" s="1830"/>
      <c r="BD212" s="1830"/>
      <c r="BE212" s="1830"/>
      <c r="BF212" s="1830"/>
      <c r="BG212" s="1643"/>
    </row>
    <row customHeight="1" ht="11.25">
      <c r="A213" s="1174" t="s">
        <v>1040</v>
      </c>
      <c r="B213" s="1174"/>
      <c r="C213" s="1174"/>
      <c r="D213" s="1168"/>
      <c r="E213" s="1178"/>
      <c r="F213" s="1836"/>
      <c r="G213" s="1837"/>
      <c r="H213" s="2536" t="s">
        <v>1162</v>
      </c>
      <c r="I213" s="2537"/>
      <c r="J213" s="2506"/>
      <c r="K213" s="2538"/>
      <c r="L213" s="2128"/>
      <c r="M213" s="2129"/>
      <c r="N213" s="2529"/>
      <c r="O213" s="2530">
        <v>1</v>
      </c>
      <c r="P213" s="2531" t="s">
        <v>61</v>
      </c>
      <c r="Q213" s="2735" t="s">
        <v>1079</v>
      </c>
      <c r="R213" s="2736" t="s">
        <v>1080</v>
      </c>
      <c r="S213" s="2736" t="s">
        <v>99</v>
      </c>
      <c r="T213" s="2736" t="s">
        <v>99</v>
      </c>
      <c r="U213" s="2736" t="s">
        <v>100</v>
      </c>
      <c r="V213" s="2736" t="s">
        <v>1081</v>
      </c>
      <c r="W213" s="2736" t="s">
        <v>1082</v>
      </c>
      <c r="X213" s="2736" t="s">
        <v>1083</v>
      </c>
      <c r="Y213" s="2736" t="s">
        <v>1084</v>
      </c>
      <c r="Z213" s="1183"/>
      <c r="AA213" s="1184"/>
      <c r="AB213" s="1184"/>
      <c r="AC213" s="1188"/>
      <c r="AD213" s="1188"/>
      <c r="AE213" s="1189"/>
      <c r="AF213" s="2527"/>
      <c r="AG213" s="2528"/>
      <c r="AH213" s="2528"/>
      <c r="AI213" s="2734"/>
      <c r="AJ213" s="2528"/>
      <c r="AK213" s="2528"/>
      <c r="AL213" s="1993"/>
      <c r="AM213" s="1830"/>
      <c r="AN213" s="1830"/>
      <c r="AO213" s="1830"/>
      <c r="AP213" s="1830"/>
      <c r="AQ213" s="1830"/>
      <c r="AR213" s="1830"/>
      <c r="AS213" s="1830"/>
      <c r="AT213" s="1830"/>
      <c r="AU213" s="1830"/>
      <c r="AV213" s="1830"/>
      <c r="AW213" s="1830"/>
      <c r="AX213" s="1830"/>
      <c r="AY213" s="1830"/>
      <c r="AZ213" s="1830"/>
      <c r="BA213" s="1830"/>
      <c r="BB213" s="1830"/>
      <c r="BC213" s="1830"/>
      <c r="BD213" s="1830"/>
      <c r="BE213" s="1830"/>
      <c r="BF213" s="1830"/>
      <c r="BG213" s="1643"/>
    </row>
    <row customHeight="1" ht="11.25">
      <c r="A214" s="1174" t="s">
        <v>1040</v>
      </c>
      <c r="B214" s="1174"/>
      <c r="C214" s="1174"/>
      <c r="D214" s="1168"/>
      <c r="E214" s="1178"/>
      <c r="F214" s="1836"/>
      <c r="G214" s="1837"/>
      <c r="H214" s="2536" t="s">
        <v>1162</v>
      </c>
      <c r="I214" s="2537"/>
      <c r="J214" s="2506"/>
      <c r="K214" s="2538"/>
      <c r="L214" s="2128"/>
      <c r="M214" s="2129"/>
      <c r="N214" s="2529"/>
      <c r="O214" s="2530"/>
      <c r="P214" s="2532"/>
      <c r="Q214" s="2735"/>
      <c r="R214" s="2534"/>
      <c r="S214" s="2535"/>
      <c r="T214" s="2534"/>
      <c r="U214" s="2534"/>
      <c r="V214" s="2534"/>
      <c r="W214" s="2534"/>
      <c r="X214" s="2534"/>
      <c r="Y214" s="2534"/>
      <c r="Z214" s="1835"/>
      <c r="AA214" s="1801">
        <v>1</v>
      </c>
      <c r="AB214" s="1187" t="s">
        <v>1114</v>
      </c>
      <c r="AC214" s="1177">
        <v>7578.44</v>
      </c>
      <c r="AD214" s="1187" t="str">
        <f>AB214</f>
        <v>  За счет платы за технологическое присоединение</v>
      </c>
      <c r="AE214" s="1177">
        <v>0</v>
      </c>
      <c r="AF214" s="2527"/>
      <c r="AG214" s="2528"/>
      <c r="AH214" s="2528"/>
      <c r="AI214" s="2734"/>
      <c r="AJ214" s="2528"/>
      <c r="AK214" s="2528"/>
      <c r="AL214" s="1993"/>
      <c r="AM214" s="1830"/>
      <c r="AN214" s="1830"/>
      <c r="AO214" s="1830"/>
      <c r="AP214" s="1830"/>
      <c r="AQ214" s="1830"/>
      <c r="AR214" s="1830"/>
      <c r="AS214" s="1830"/>
      <c r="AT214" s="1830"/>
      <c r="AU214" s="1830"/>
      <c r="AV214" s="1830"/>
      <c r="AW214" s="1830"/>
      <c r="AX214" s="1830"/>
      <c r="AY214" s="1830"/>
      <c r="AZ214" s="1830"/>
      <c r="BA214" s="1830"/>
      <c r="BB214" s="1830"/>
      <c r="BC214" s="1830"/>
      <c r="BD214" s="1830"/>
      <c r="BE214" s="1830"/>
      <c r="BF214" s="1830"/>
      <c r="BG214" s="1643"/>
    </row>
    <row customHeight="1" ht="11.25">
      <c r="A215" s="1174" t="s">
        <v>1040</v>
      </c>
      <c r="B215" s="1174"/>
      <c r="C215" s="1174"/>
      <c r="D215" s="1168"/>
      <c r="E215" s="1178"/>
      <c r="F215" s="1837"/>
      <c r="G215" s="1837"/>
      <c r="H215" s="1837"/>
      <c r="I215" s="1837"/>
      <c r="J215" s="1837"/>
      <c r="K215" s="1837"/>
      <c r="L215" s="1837"/>
      <c r="M215" s="1837"/>
      <c r="N215" s="1837"/>
      <c r="O215" s="1837"/>
      <c r="P215" s="1837"/>
      <c r="Q215" s="1837"/>
      <c r="R215" s="1837"/>
      <c r="S215" s="1837"/>
      <c r="T215" s="1837"/>
      <c r="U215" s="1837"/>
      <c r="V215" s="1837"/>
      <c r="W215" s="1837"/>
      <c r="X215" s="1837"/>
      <c r="Y215" s="1837"/>
      <c r="Z215" s="691" t="s">
        <v>103</v>
      </c>
      <c r="AA215" s="1821" t="s">
        <v>102</v>
      </c>
      <c r="AB215" s="1187" t="s">
        <v>1085</v>
      </c>
      <c r="AC215" s="1177">
        <v>1515.69</v>
      </c>
      <c r="AD215" s="1187" t="str">
        <f>AB215</f>
        <v>  Прочие собственные средства</v>
      </c>
      <c r="AE215" s="1177">
        <v>0</v>
      </c>
      <c r="AF215" s="2094"/>
      <c r="AG215" s="1766"/>
      <c r="AH215" s="1766"/>
      <c r="AI215" s="2740"/>
      <c r="AJ215" s="1766"/>
      <c r="AK215" s="1992"/>
      <c r="AL215" s="1993"/>
      <c r="AM215" s="1830"/>
      <c r="AN215" s="1830"/>
      <c r="AO215" s="1830"/>
      <c r="AP215" s="1830"/>
      <c r="AQ215" s="1830"/>
      <c r="AR215" s="1830"/>
      <c r="AS215" s="1830"/>
      <c r="AT215" s="1830"/>
      <c r="AU215" s="1830"/>
      <c r="AV215" s="1830"/>
      <c r="AW215" s="1830"/>
      <c r="AX215" s="1830"/>
      <c r="AY215" s="1830"/>
      <c r="AZ215" s="1830"/>
      <c r="BA215" s="1830"/>
      <c r="BB215" s="1830"/>
      <c r="BC215" s="1830"/>
      <c r="BD215" s="1830"/>
      <c r="BE215" s="1830"/>
      <c r="BF215" s="1830"/>
      <c r="BG215" s="1643"/>
    </row>
    <row customHeight="1" ht="11.25">
      <c r="A216" s="1174" t="s">
        <v>1040</v>
      </c>
      <c r="B216" s="1174"/>
      <c r="C216" s="1174"/>
      <c r="D216" s="1168"/>
      <c r="E216" s="1178"/>
      <c r="F216" s="1836"/>
      <c r="G216" s="1837"/>
      <c r="H216" s="2536" t="s">
        <v>1162</v>
      </c>
      <c r="I216" s="2537"/>
      <c r="J216" s="2506"/>
      <c r="K216" s="2538"/>
      <c r="L216" s="2128"/>
      <c r="M216" s="2129"/>
      <c r="N216" s="2529"/>
      <c r="O216" s="2530"/>
      <c r="P216" s="2533"/>
      <c r="Q216" s="2735"/>
      <c r="R216" s="2534"/>
      <c r="S216" s="2535"/>
      <c r="T216" s="2534"/>
      <c r="U216" s="2534"/>
      <c r="V216" s="2534"/>
      <c r="W216" s="2534"/>
      <c r="X216" s="2534"/>
      <c r="Y216" s="2534"/>
      <c r="Z216" s="1183"/>
      <c r="AA216" s="1184"/>
      <c r="AB216" s="1249" t="s">
        <v>1086</v>
      </c>
      <c r="AC216" s="1188"/>
      <c r="AD216" s="1188"/>
      <c r="AE216" s="1190"/>
      <c r="AF216" s="2527"/>
      <c r="AG216" s="2528"/>
      <c r="AH216" s="2528"/>
      <c r="AI216" s="2734"/>
      <c r="AJ216" s="2528"/>
      <c r="AK216" s="2528"/>
      <c r="AL216" s="1993"/>
      <c r="AM216" s="1830"/>
      <c r="AN216" s="1830"/>
      <c r="AO216" s="1830"/>
      <c r="AP216" s="1830"/>
      <c r="AQ216" s="1830"/>
      <c r="AR216" s="1830"/>
      <c r="AS216" s="1830"/>
      <c r="AT216" s="1830"/>
      <c r="AU216" s="1830"/>
      <c r="AV216" s="1830"/>
      <c r="AW216" s="1830"/>
      <c r="AX216" s="1830"/>
      <c r="AY216" s="1830"/>
      <c r="AZ216" s="1830"/>
      <c r="BA216" s="1830"/>
      <c r="BB216" s="1830"/>
      <c r="BC216" s="1830"/>
      <c r="BD216" s="1830"/>
      <c r="BE216" s="1830"/>
      <c r="BF216" s="1830"/>
      <c r="BG216" s="1643"/>
    </row>
    <row customHeight="1" ht="11.25">
      <c r="A217" s="1174" t="s">
        <v>1040</v>
      </c>
      <c r="B217" s="1174"/>
      <c r="C217" s="1174"/>
      <c r="D217" s="1168"/>
      <c r="E217" s="1178"/>
      <c r="F217" s="1836"/>
      <c r="G217" s="1837"/>
      <c r="H217" s="2536" t="s">
        <v>1162</v>
      </c>
      <c r="I217" s="2537"/>
      <c r="J217" s="2506"/>
      <c r="K217" s="2538"/>
      <c r="L217" s="2128"/>
      <c r="M217" s="2129"/>
      <c r="N217" s="1183"/>
      <c r="O217" s="1184"/>
      <c r="P217" s="1176" t="s">
        <v>1087</v>
      </c>
      <c r="Q217" s="1184"/>
      <c r="R217" s="1184"/>
      <c r="S217" s="1184"/>
      <c r="T217" s="1184"/>
      <c r="U217" s="1184"/>
      <c r="V217" s="1184"/>
      <c r="W217" s="1184"/>
      <c r="X217" s="1184"/>
      <c r="Y217" s="1184"/>
      <c r="Z217" s="1184"/>
      <c r="AA217" s="1184"/>
      <c r="AB217" s="1184"/>
      <c r="AC217" s="1184"/>
      <c r="AD217" s="1184"/>
      <c r="AE217" s="1191"/>
      <c r="AF217" s="2527"/>
      <c r="AG217" s="2528"/>
      <c r="AH217" s="2528"/>
      <c r="AI217" s="2734"/>
      <c r="AJ217" s="2528"/>
      <c r="AK217" s="2528"/>
      <c r="AL217" s="1993"/>
      <c r="AM217" s="1830"/>
      <c r="AN217" s="1830"/>
      <c r="AO217" s="1830"/>
      <c r="AP217" s="1830"/>
      <c r="AQ217" s="1830"/>
      <c r="AR217" s="1830"/>
      <c r="AS217" s="1830"/>
      <c r="AT217" s="1830"/>
      <c r="AU217" s="1830"/>
      <c r="AV217" s="1830"/>
      <c r="AW217" s="1830"/>
      <c r="AX217" s="1830"/>
      <c r="AY217" s="1830"/>
      <c r="AZ217" s="1830"/>
      <c r="BA217" s="1830"/>
      <c r="BB217" s="1830"/>
      <c r="BC217" s="1830"/>
      <c r="BD217" s="1830"/>
      <c r="BE217" s="1830"/>
      <c r="BF217" s="1830"/>
      <c r="BG217" s="1643"/>
    </row>
    <row customHeight="1" ht="11.25">
      <c r="A218" s="1174" t="s">
        <v>1040</v>
      </c>
      <c r="B218" s="1174" t="s">
        <v>1119</v>
      </c>
      <c r="C218" s="1174"/>
      <c r="D218" s="1168"/>
      <c r="E218" s="1178"/>
      <c r="F218" s="1836"/>
      <c r="G218" s="691" t="s">
        <v>103</v>
      </c>
      <c r="H218" s="2536" t="s">
        <v>1166</v>
      </c>
      <c r="I218" s="2537" t="s">
        <v>1121</v>
      </c>
      <c r="J218" s="2506" t="s">
        <v>1125</v>
      </c>
      <c r="K218" s="2538" t="s">
        <v>1167</v>
      </c>
      <c r="L218" s="2128" t="s">
        <v>19</v>
      </c>
      <c r="M218" s="2129"/>
      <c r="N218" s="1991"/>
      <c r="O218" s="1185" t="s">
        <v>393</v>
      </c>
      <c r="P218" s="1186"/>
      <c r="Q218" s="1186"/>
      <c r="R218" s="1186"/>
      <c r="S218" s="1186"/>
      <c r="T218" s="1186"/>
      <c r="U218" s="1186"/>
      <c r="V218" s="1186"/>
      <c r="W218" s="1186"/>
      <c r="X218" s="1186"/>
      <c r="Y218" s="1186"/>
      <c r="Z218" s="1186"/>
      <c r="AA218" s="1186"/>
      <c r="AB218" s="1186"/>
      <c r="AC218" s="1186"/>
      <c r="AD218" s="1186"/>
      <c r="AE218" s="1186"/>
      <c r="AF218" s="2527">
        <v>1</v>
      </c>
      <c r="AG218" s="2528" t="s">
        <v>1076</v>
      </c>
      <c r="AH218" s="2528" t="s">
        <v>1091</v>
      </c>
      <c r="AI218" s="2527">
        <v>1</v>
      </c>
      <c r="AJ218" s="2528" t="s">
        <v>1168</v>
      </c>
      <c r="AK218" s="2528" t="s">
        <v>1091</v>
      </c>
      <c r="AL218" s="1993"/>
      <c r="AM218" s="1830"/>
      <c r="AN218" s="1830"/>
      <c r="AO218" s="1830"/>
      <c r="AP218" s="1830"/>
      <c r="AQ218" s="1830"/>
      <c r="AR218" s="1830"/>
      <c r="AS218" s="1830"/>
      <c r="AT218" s="1830"/>
      <c r="AU218" s="1830"/>
      <c r="AV218" s="1830"/>
      <c r="AW218" s="1830"/>
      <c r="AX218" s="1830"/>
      <c r="AY218" s="1830"/>
      <c r="AZ218" s="1830"/>
      <c r="BA218" s="1830"/>
      <c r="BB218" s="1830"/>
      <c r="BC218" s="1830"/>
      <c r="BD218" s="1830"/>
      <c r="BE218" s="1830"/>
      <c r="BF218" s="1830"/>
      <c r="BG218" s="1643"/>
    </row>
    <row customHeight="1" ht="11.25">
      <c r="A219" s="1174" t="s">
        <v>1040</v>
      </c>
      <c r="B219" s="1174"/>
      <c r="C219" s="1174"/>
      <c r="D219" s="1168"/>
      <c r="E219" s="1178"/>
      <c r="F219" s="1836"/>
      <c r="G219" s="1837"/>
      <c r="H219" s="2536" t="s">
        <v>1164</v>
      </c>
      <c r="I219" s="2537"/>
      <c r="J219" s="2506"/>
      <c r="K219" s="2538"/>
      <c r="L219" s="2128"/>
      <c r="M219" s="2129"/>
      <c r="N219" s="2529"/>
      <c r="O219" s="2530">
        <v>1</v>
      </c>
      <c r="P219" s="2531" t="s">
        <v>61</v>
      </c>
      <c r="Q219" s="2735" t="s">
        <v>1079</v>
      </c>
      <c r="R219" s="2736" t="s">
        <v>1080</v>
      </c>
      <c r="S219" s="2736" t="s">
        <v>99</v>
      </c>
      <c r="T219" s="2736" t="s">
        <v>99</v>
      </c>
      <c r="U219" s="2736" t="s">
        <v>100</v>
      </c>
      <c r="V219" s="2736" t="s">
        <v>1081</v>
      </c>
      <c r="W219" s="2736" t="s">
        <v>1082</v>
      </c>
      <c r="X219" s="2736" t="s">
        <v>1083</v>
      </c>
      <c r="Y219" s="2736" t="s">
        <v>1084</v>
      </c>
      <c r="Z219" s="1183"/>
      <c r="AA219" s="1184"/>
      <c r="AB219" s="1184"/>
      <c r="AC219" s="1188"/>
      <c r="AD219" s="1188"/>
      <c r="AE219" s="1189"/>
      <c r="AF219" s="2527"/>
      <c r="AG219" s="2528"/>
      <c r="AH219" s="2528"/>
      <c r="AI219" s="2527"/>
      <c r="AJ219" s="2528"/>
      <c r="AK219" s="2528"/>
      <c r="AL219" s="1993"/>
      <c r="AM219" s="1830"/>
      <c r="AN219" s="1830"/>
      <c r="AO219" s="1830"/>
      <c r="AP219" s="1830"/>
      <c r="AQ219" s="1830"/>
      <c r="AR219" s="1830"/>
      <c r="AS219" s="1830"/>
      <c r="AT219" s="1830"/>
      <c r="AU219" s="1830"/>
      <c r="AV219" s="1830"/>
      <c r="AW219" s="1830"/>
      <c r="AX219" s="1830"/>
      <c r="AY219" s="1830"/>
      <c r="AZ219" s="1830"/>
      <c r="BA219" s="1830"/>
      <c r="BB219" s="1830"/>
      <c r="BC219" s="1830"/>
      <c r="BD219" s="1830"/>
      <c r="BE219" s="1830"/>
      <c r="BF219" s="1830"/>
      <c r="BG219" s="1643"/>
    </row>
    <row customHeight="1" ht="11.25">
      <c r="A220" s="1174" t="s">
        <v>1040</v>
      </c>
      <c r="B220" s="1174"/>
      <c r="C220" s="1174"/>
      <c r="D220" s="1168"/>
      <c r="E220" s="1178"/>
      <c r="F220" s="1836"/>
      <c r="G220" s="1837"/>
      <c r="H220" s="2536" t="s">
        <v>1164</v>
      </c>
      <c r="I220" s="2537"/>
      <c r="J220" s="2506"/>
      <c r="K220" s="2538"/>
      <c r="L220" s="2128"/>
      <c r="M220" s="2129"/>
      <c r="N220" s="2529"/>
      <c r="O220" s="2530"/>
      <c r="P220" s="2532"/>
      <c r="Q220" s="2735"/>
      <c r="R220" s="2534"/>
      <c r="S220" s="2535"/>
      <c r="T220" s="2534"/>
      <c r="U220" s="2534"/>
      <c r="V220" s="2534"/>
      <c r="W220" s="2534"/>
      <c r="X220" s="2534"/>
      <c r="Y220" s="2534"/>
      <c r="Z220" s="1835"/>
      <c r="AA220" s="1801">
        <v>1</v>
      </c>
      <c r="AB220" s="1187" t="s">
        <v>1114</v>
      </c>
      <c r="AC220" s="1177">
        <v>4475.85</v>
      </c>
      <c r="AD220" s="1187" t="str">
        <f>AB220</f>
        <v>  За счет платы за технологическое присоединение</v>
      </c>
      <c r="AE220" s="1177">
        <v>3634.09372</v>
      </c>
      <c r="AF220" s="2527"/>
      <c r="AG220" s="2528"/>
      <c r="AH220" s="2528"/>
      <c r="AI220" s="2527"/>
      <c r="AJ220" s="2528"/>
      <c r="AK220" s="2528"/>
      <c r="AL220" s="1993"/>
      <c r="AM220" s="1830"/>
      <c r="AN220" s="1830"/>
      <c r="AO220" s="1830"/>
      <c r="AP220" s="1830"/>
      <c r="AQ220" s="1830"/>
      <c r="AR220" s="1830"/>
      <c r="AS220" s="1830"/>
      <c r="AT220" s="1830"/>
      <c r="AU220" s="1830"/>
      <c r="AV220" s="1830"/>
      <c r="AW220" s="1830"/>
      <c r="AX220" s="1830"/>
      <c r="AY220" s="1830"/>
      <c r="AZ220" s="1830"/>
      <c r="BA220" s="1830"/>
      <c r="BB220" s="1830"/>
      <c r="BC220" s="1830"/>
      <c r="BD220" s="1830"/>
      <c r="BE220" s="1830"/>
      <c r="BF220" s="1830"/>
      <c r="BG220" s="1643"/>
    </row>
    <row customHeight="1" ht="11.25">
      <c r="A221" s="1174" t="s">
        <v>1040</v>
      </c>
      <c r="B221" s="1174"/>
      <c r="C221" s="1174"/>
      <c r="D221" s="1168"/>
      <c r="E221" s="1178"/>
      <c r="F221" s="1837"/>
      <c r="G221" s="1837"/>
      <c r="H221" s="1837"/>
      <c r="I221" s="1837"/>
      <c r="J221" s="1837"/>
      <c r="K221" s="1837"/>
      <c r="L221" s="1837"/>
      <c r="M221" s="1837"/>
      <c r="N221" s="1837"/>
      <c r="O221" s="1837"/>
      <c r="P221" s="1837"/>
      <c r="Q221" s="1837"/>
      <c r="R221" s="1837"/>
      <c r="S221" s="1837"/>
      <c r="T221" s="1837"/>
      <c r="U221" s="1837"/>
      <c r="V221" s="1837"/>
      <c r="W221" s="1837"/>
      <c r="X221" s="1837"/>
      <c r="Y221" s="1837"/>
      <c r="Z221" s="691" t="s">
        <v>103</v>
      </c>
      <c r="AA221" s="1821" t="s">
        <v>102</v>
      </c>
      <c r="AB221" s="1187" t="s">
        <v>1085</v>
      </c>
      <c r="AC221" s="1177">
        <v>895.17</v>
      </c>
      <c r="AD221" s="1187" t="str">
        <f>AB221</f>
        <v>  Прочие собственные средства</v>
      </c>
      <c r="AE221" s="1177">
        <v>726.81874</v>
      </c>
      <c r="AF221" s="2094"/>
      <c r="AG221" s="1766"/>
      <c r="AH221" s="1766"/>
      <c r="AI221" s="2094"/>
      <c r="AJ221" s="1766"/>
      <c r="AK221" s="1992"/>
      <c r="AL221" s="1993"/>
      <c r="AM221" s="1830"/>
      <c r="AN221" s="1830"/>
      <c r="AO221" s="1830"/>
      <c r="AP221" s="1830"/>
      <c r="AQ221" s="1830"/>
      <c r="AR221" s="1830"/>
      <c r="AS221" s="1830"/>
      <c r="AT221" s="1830"/>
      <c r="AU221" s="1830"/>
      <c r="AV221" s="1830"/>
      <c r="AW221" s="1830"/>
      <c r="AX221" s="1830"/>
      <c r="AY221" s="1830"/>
      <c r="AZ221" s="1830"/>
      <c r="BA221" s="1830"/>
      <c r="BB221" s="1830"/>
      <c r="BC221" s="1830"/>
      <c r="BD221" s="1830"/>
      <c r="BE221" s="1830"/>
      <c r="BF221" s="1830"/>
      <c r="BG221" s="1643"/>
    </row>
    <row customHeight="1" ht="11.25">
      <c r="A222" s="1174" t="s">
        <v>1040</v>
      </c>
      <c r="B222" s="1174"/>
      <c r="C222" s="1174"/>
      <c r="D222" s="1168"/>
      <c r="E222" s="1178"/>
      <c r="F222" s="1836"/>
      <c r="G222" s="1837"/>
      <c r="H222" s="2536" t="s">
        <v>1164</v>
      </c>
      <c r="I222" s="2537"/>
      <c r="J222" s="2506"/>
      <c r="K222" s="2538"/>
      <c r="L222" s="2128"/>
      <c r="M222" s="2129"/>
      <c r="N222" s="2529"/>
      <c r="O222" s="2530"/>
      <c r="P222" s="2533"/>
      <c r="Q222" s="2735"/>
      <c r="R222" s="2534"/>
      <c r="S222" s="2535"/>
      <c r="T222" s="2534"/>
      <c r="U222" s="2534"/>
      <c r="V222" s="2534"/>
      <c r="W222" s="2534"/>
      <c r="X222" s="2534"/>
      <c r="Y222" s="2534"/>
      <c r="Z222" s="1183"/>
      <c r="AA222" s="1184"/>
      <c r="AB222" s="1249" t="s">
        <v>1086</v>
      </c>
      <c r="AC222" s="1188"/>
      <c r="AD222" s="1188"/>
      <c r="AE222" s="1190"/>
      <c r="AF222" s="2527"/>
      <c r="AG222" s="2528"/>
      <c r="AH222" s="2528"/>
      <c r="AI222" s="2527"/>
      <c r="AJ222" s="2528"/>
      <c r="AK222" s="2528"/>
      <c r="AL222" s="1993"/>
      <c r="AM222" s="1830"/>
      <c r="AN222" s="1830"/>
      <c r="AO222" s="1830"/>
      <c r="AP222" s="1830"/>
      <c r="AQ222" s="1830"/>
      <c r="AR222" s="1830"/>
      <c r="AS222" s="1830"/>
      <c r="AT222" s="1830"/>
      <c r="AU222" s="1830"/>
      <c r="AV222" s="1830"/>
      <c r="AW222" s="1830"/>
      <c r="AX222" s="1830"/>
      <c r="AY222" s="1830"/>
      <c r="AZ222" s="1830"/>
      <c r="BA222" s="1830"/>
      <c r="BB222" s="1830"/>
      <c r="BC222" s="1830"/>
      <c r="BD222" s="1830"/>
      <c r="BE222" s="1830"/>
      <c r="BF222" s="1830"/>
      <c r="BG222" s="1643"/>
    </row>
    <row customHeight="1" ht="11.25">
      <c r="A223" s="1174" t="s">
        <v>1040</v>
      </c>
      <c r="B223" s="1174"/>
      <c r="C223" s="1174"/>
      <c r="D223" s="1168"/>
      <c r="E223" s="1178"/>
      <c r="F223" s="1836"/>
      <c r="G223" s="1837"/>
      <c r="H223" s="2536" t="s">
        <v>1164</v>
      </c>
      <c r="I223" s="2537"/>
      <c r="J223" s="2506"/>
      <c r="K223" s="2538"/>
      <c r="L223" s="2128"/>
      <c r="M223" s="2129"/>
      <c r="N223" s="1183"/>
      <c r="O223" s="1184"/>
      <c r="P223" s="1176" t="s">
        <v>1087</v>
      </c>
      <c r="Q223" s="1184"/>
      <c r="R223" s="1184"/>
      <c r="S223" s="1184"/>
      <c r="T223" s="1184"/>
      <c r="U223" s="1184"/>
      <c r="V223" s="1184"/>
      <c r="W223" s="1184"/>
      <c r="X223" s="1184"/>
      <c r="Y223" s="1184"/>
      <c r="Z223" s="1184"/>
      <c r="AA223" s="1184"/>
      <c r="AB223" s="1184"/>
      <c r="AC223" s="1184"/>
      <c r="AD223" s="1184"/>
      <c r="AE223" s="1191"/>
      <c r="AF223" s="2527"/>
      <c r="AG223" s="2528"/>
      <c r="AH223" s="2528"/>
      <c r="AI223" s="2527"/>
      <c r="AJ223" s="2528"/>
      <c r="AK223" s="2528"/>
      <c r="AL223" s="1993"/>
      <c r="AM223" s="1830"/>
      <c r="AN223" s="1830"/>
      <c r="AO223" s="1830"/>
      <c r="AP223" s="1830"/>
      <c r="AQ223" s="1830"/>
      <c r="AR223" s="1830"/>
      <c r="AS223" s="1830"/>
      <c r="AT223" s="1830"/>
      <c r="AU223" s="1830"/>
      <c r="AV223" s="1830"/>
      <c r="AW223" s="1830"/>
      <c r="AX223" s="1830"/>
      <c r="AY223" s="1830"/>
      <c r="AZ223" s="1830"/>
      <c r="BA223" s="1830"/>
      <c r="BB223" s="1830"/>
      <c r="BC223" s="1830"/>
      <c r="BD223" s="1830"/>
      <c r="BE223" s="1830"/>
      <c r="BF223" s="1830"/>
      <c r="BG223" s="1643"/>
    </row>
    <row customHeight="1" ht="11.25">
      <c r="A224" s="1174" t="s">
        <v>1040</v>
      </c>
      <c r="B224" s="1174" t="s">
        <v>1119</v>
      </c>
      <c r="C224" s="1174"/>
      <c r="D224" s="1168"/>
      <c r="E224" s="1178"/>
      <c r="F224" s="1836"/>
      <c r="G224" s="691" t="s">
        <v>103</v>
      </c>
      <c r="H224" s="2536" t="s">
        <v>1169</v>
      </c>
      <c r="I224" s="2537" t="s">
        <v>1121</v>
      </c>
      <c r="J224" s="2506" t="s">
        <v>1125</v>
      </c>
      <c r="K224" s="2538" t="s">
        <v>1170</v>
      </c>
      <c r="L224" s="2128" t="s">
        <v>19</v>
      </c>
      <c r="M224" s="2129"/>
      <c r="N224" s="1991"/>
      <c r="O224" s="1185" t="s">
        <v>393</v>
      </c>
      <c r="P224" s="1186"/>
      <c r="Q224" s="1186"/>
      <c r="R224" s="1186"/>
      <c r="S224" s="1186"/>
      <c r="T224" s="1186"/>
      <c r="U224" s="1186"/>
      <c r="V224" s="1186"/>
      <c r="W224" s="1186"/>
      <c r="X224" s="1186"/>
      <c r="Y224" s="1186"/>
      <c r="Z224" s="1186"/>
      <c r="AA224" s="1186"/>
      <c r="AB224" s="1186"/>
      <c r="AC224" s="1186"/>
      <c r="AD224" s="1186"/>
      <c r="AE224" s="1186"/>
      <c r="AF224" s="2527">
        <v>1</v>
      </c>
      <c r="AG224" s="2528" t="s">
        <v>1076</v>
      </c>
      <c r="AH224" s="2528" t="s">
        <v>1091</v>
      </c>
      <c r="AI224" s="2734"/>
      <c r="AJ224" s="2528" t="s">
        <v>1132</v>
      </c>
      <c r="AK224" s="2528" t="s">
        <v>1132</v>
      </c>
      <c r="AL224" s="1993"/>
      <c r="AM224" s="1830"/>
      <c r="AN224" s="1830"/>
      <c r="AO224" s="1830"/>
      <c r="AP224" s="1830"/>
      <c r="AQ224" s="1830"/>
      <c r="AR224" s="1830"/>
      <c r="AS224" s="1830"/>
      <c r="AT224" s="1830"/>
      <c r="AU224" s="1830"/>
      <c r="AV224" s="1830"/>
      <c r="AW224" s="1830"/>
      <c r="AX224" s="1830"/>
      <c r="AY224" s="1830"/>
      <c r="AZ224" s="1830"/>
      <c r="BA224" s="1830"/>
      <c r="BB224" s="1830"/>
      <c r="BC224" s="1830"/>
      <c r="BD224" s="1830"/>
      <c r="BE224" s="1830"/>
      <c r="BF224" s="1830"/>
      <c r="BG224" s="1643"/>
    </row>
    <row customHeight="1" ht="11.25">
      <c r="A225" s="1174" t="s">
        <v>1040</v>
      </c>
      <c r="B225" s="1174"/>
      <c r="C225" s="1174"/>
      <c r="D225" s="1168"/>
      <c r="E225" s="1178"/>
      <c r="F225" s="1836"/>
      <c r="G225" s="1837"/>
      <c r="H225" s="2536" t="s">
        <v>1166</v>
      </c>
      <c r="I225" s="2537"/>
      <c r="J225" s="2506"/>
      <c r="K225" s="2538"/>
      <c r="L225" s="2128"/>
      <c r="M225" s="2129"/>
      <c r="N225" s="2529"/>
      <c r="O225" s="2530">
        <v>1</v>
      </c>
      <c r="P225" s="2531" t="s">
        <v>61</v>
      </c>
      <c r="Q225" s="2735" t="s">
        <v>1079</v>
      </c>
      <c r="R225" s="2736" t="s">
        <v>1080</v>
      </c>
      <c r="S225" s="2736" t="s">
        <v>99</v>
      </c>
      <c r="T225" s="2736" t="s">
        <v>99</v>
      </c>
      <c r="U225" s="2736" t="s">
        <v>100</v>
      </c>
      <c r="V225" s="2736" t="s">
        <v>1081</v>
      </c>
      <c r="W225" s="2736" t="s">
        <v>1082</v>
      </c>
      <c r="X225" s="2736" t="s">
        <v>1083</v>
      </c>
      <c r="Y225" s="2736" t="s">
        <v>1084</v>
      </c>
      <c r="Z225" s="1183"/>
      <c r="AA225" s="1184"/>
      <c r="AB225" s="1184"/>
      <c r="AC225" s="1188"/>
      <c r="AD225" s="1188"/>
      <c r="AE225" s="1189"/>
      <c r="AF225" s="2527"/>
      <c r="AG225" s="2528"/>
      <c r="AH225" s="2528"/>
      <c r="AI225" s="2734"/>
      <c r="AJ225" s="2528"/>
      <c r="AK225" s="2528"/>
      <c r="AL225" s="1993"/>
      <c r="AM225" s="1830"/>
      <c r="AN225" s="1830"/>
      <c r="AO225" s="1830"/>
      <c r="AP225" s="1830"/>
      <c r="AQ225" s="1830"/>
      <c r="AR225" s="1830"/>
      <c r="AS225" s="1830"/>
      <c r="AT225" s="1830"/>
      <c r="AU225" s="1830"/>
      <c r="AV225" s="1830"/>
      <c r="AW225" s="1830"/>
      <c r="AX225" s="1830"/>
      <c r="AY225" s="1830"/>
      <c r="AZ225" s="1830"/>
      <c r="BA225" s="1830"/>
      <c r="BB225" s="1830"/>
      <c r="BC225" s="1830"/>
      <c r="BD225" s="1830"/>
      <c r="BE225" s="1830"/>
      <c r="BF225" s="1830"/>
      <c r="BG225" s="1643"/>
    </row>
    <row customHeight="1" ht="11.25">
      <c r="A226" s="1174" t="s">
        <v>1040</v>
      </c>
      <c r="B226" s="1174"/>
      <c r="C226" s="1174"/>
      <c r="D226" s="1168"/>
      <c r="E226" s="1178"/>
      <c r="F226" s="1836"/>
      <c r="G226" s="1837"/>
      <c r="H226" s="2536" t="s">
        <v>1166</v>
      </c>
      <c r="I226" s="2537"/>
      <c r="J226" s="2506"/>
      <c r="K226" s="2538"/>
      <c r="L226" s="2128"/>
      <c r="M226" s="2129"/>
      <c r="N226" s="2529"/>
      <c r="O226" s="2530"/>
      <c r="P226" s="2532"/>
      <c r="Q226" s="2735"/>
      <c r="R226" s="2534"/>
      <c r="S226" s="2535"/>
      <c r="T226" s="2534"/>
      <c r="U226" s="2534"/>
      <c r="V226" s="2534"/>
      <c r="W226" s="2534"/>
      <c r="X226" s="2534"/>
      <c r="Y226" s="2534"/>
      <c r="Z226" s="1835"/>
      <c r="AA226" s="1801">
        <v>1</v>
      </c>
      <c r="AB226" s="1187" t="s">
        <v>1114</v>
      </c>
      <c r="AC226" s="1177">
        <v>5688.95</v>
      </c>
      <c r="AD226" s="1187" t="str">
        <f>AB226</f>
        <v>  За счет платы за технологическое присоединение</v>
      </c>
      <c r="AE226" s="1177">
        <v>0</v>
      </c>
      <c r="AF226" s="2527"/>
      <c r="AG226" s="2528"/>
      <c r="AH226" s="2528"/>
      <c r="AI226" s="2734"/>
      <c r="AJ226" s="2528"/>
      <c r="AK226" s="2528"/>
      <c r="AL226" s="1993"/>
      <c r="AM226" s="1830"/>
      <c r="AN226" s="1830"/>
      <c r="AO226" s="1830"/>
      <c r="AP226" s="1830"/>
      <c r="AQ226" s="1830"/>
      <c r="AR226" s="1830"/>
      <c r="AS226" s="1830"/>
      <c r="AT226" s="1830"/>
      <c r="AU226" s="1830"/>
      <c r="AV226" s="1830"/>
      <c r="AW226" s="1830"/>
      <c r="AX226" s="1830"/>
      <c r="AY226" s="1830"/>
      <c r="AZ226" s="1830"/>
      <c r="BA226" s="1830"/>
      <c r="BB226" s="1830"/>
      <c r="BC226" s="1830"/>
      <c r="BD226" s="1830"/>
      <c r="BE226" s="1830"/>
      <c r="BF226" s="1830"/>
      <c r="BG226" s="1643"/>
    </row>
    <row customHeight="1" ht="11.25">
      <c r="A227" s="1174" t="s">
        <v>1040</v>
      </c>
      <c r="B227" s="1174"/>
      <c r="C227" s="1174"/>
      <c r="D227" s="1168"/>
      <c r="E227" s="1178"/>
      <c r="F227" s="1837"/>
      <c r="G227" s="1837"/>
      <c r="H227" s="1837"/>
      <c r="I227" s="1837"/>
      <c r="J227" s="1837"/>
      <c r="K227" s="1837"/>
      <c r="L227" s="1837"/>
      <c r="M227" s="1837"/>
      <c r="N227" s="1837"/>
      <c r="O227" s="1837"/>
      <c r="P227" s="1837"/>
      <c r="Q227" s="1837"/>
      <c r="R227" s="1837"/>
      <c r="S227" s="1837"/>
      <c r="T227" s="1837"/>
      <c r="U227" s="1837"/>
      <c r="V227" s="1837"/>
      <c r="W227" s="1837"/>
      <c r="X227" s="1837"/>
      <c r="Y227" s="1837"/>
      <c r="Z227" s="691" t="s">
        <v>103</v>
      </c>
      <c r="AA227" s="1821" t="s">
        <v>102</v>
      </c>
      <c r="AB227" s="1187" t="s">
        <v>1085</v>
      </c>
      <c r="AC227" s="1177">
        <v>1137.79</v>
      </c>
      <c r="AD227" s="1187" t="str">
        <f>AB227</f>
        <v>  Прочие собственные средства</v>
      </c>
      <c r="AE227" s="1177">
        <v>0</v>
      </c>
      <c r="AF227" s="2094"/>
      <c r="AG227" s="1766"/>
      <c r="AH227" s="1766"/>
      <c r="AI227" s="2740"/>
      <c r="AJ227" s="1766"/>
      <c r="AK227" s="1992"/>
      <c r="AL227" s="1993"/>
      <c r="AM227" s="1830"/>
      <c r="AN227" s="1830"/>
      <c r="AO227" s="1830"/>
      <c r="AP227" s="1830"/>
      <c r="AQ227" s="1830"/>
      <c r="AR227" s="1830"/>
      <c r="AS227" s="1830"/>
      <c r="AT227" s="1830"/>
      <c r="AU227" s="1830"/>
      <c r="AV227" s="1830"/>
      <c r="AW227" s="1830"/>
      <c r="AX227" s="1830"/>
      <c r="AY227" s="1830"/>
      <c r="AZ227" s="1830"/>
      <c r="BA227" s="1830"/>
      <c r="BB227" s="1830"/>
      <c r="BC227" s="1830"/>
      <c r="BD227" s="1830"/>
      <c r="BE227" s="1830"/>
      <c r="BF227" s="1830"/>
      <c r="BG227" s="1643"/>
    </row>
    <row customHeight="1" ht="11.25">
      <c r="A228" s="1174" t="s">
        <v>1040</v>
      </c>
      <c r="B228" s="1174"/>
      <c r="C228" s="1174"/>
      <c r="D228" s="1168"/>
      <c r="E228" s="1178"/>
      <c r="F228" s="1836"/>
      <c r="G228" s="1837"/>
      <c r="H228" s="2536" t="s">
        <v>1166</v>
      </c>
      <c r="I228" s="2537"/>
      <c r="J228" s="2506"/>
      <c r="K228" s="2538"/>
      <c r="L228" s="2128"/>
      <c r="M228" s="2129"/>
      <c r="N228" s="2529"/>
      <c r="O228" s="2530"/>
      <c r="P228" s="2533"/>
      <c r="Q228" s="2735"/>
      <c r="R228" s="2534"/>
      <c r="S228" s="2535"/>
      <c r="T228" s="2534"/>
      <c r="U228" s="2534"/>
      <c r="V228" s="2534"/>
      <c r="W228" s="2534"/>
      <c r="X228" s="2534"/>
      <c r="Y228" s="2534"/>
      <c r="Z228" s="1183"/>
      <c r="AA228" s="1184"/>
      <c r="AB228" s="1249" t="s">
        <v>1086</v>
      </c>
      <c r="AC228" s="1188"/>
      <c r="AD228" s="1188"/>
      <c r="AE228" s="1190"/>
      <c r="AF228" s="2527"/>
      <c r="AG228" s="2528"/>
      <c r="AH228" s="2528"/>
      <c r="AI228" s="2734"/>
      <c r="AJ228" s="2528"/>
      <c r="AK228" s="2528"/>
      <c r="AL228" s="1993"/>
      <c r="AM228" s="1830"/>
      <c r="AN228" s="1830"/>
      <c r="AO228" s="1830"/>
      <c r="AP228" s="1830"/>
      <c r="AQ228" s="1830"/>
      <c r="AR228" s="1830"/>
      <c r="AS228" s="1830"/>
      <c r="AT228" s="1830"/>
      <c r="AU228" s="1830"/>
      <c r="AV228" s="1830"/>
      <c r="AW228" s="1830"/>
      <c r="AX228" s="1830"/>
      <c r="AY228" s="1830"/>
      <c r="AZ228" s="1830"/>
      <c r="BA228" s="1830"/>
      <c r="BB228" s="1830"/>
      <c r="BC228" s="1830"/>
      <c r="BD228" s="1830"/>
      <c r="BE228" s="1830"/>
      <c r="BF228" s="1830"/>
      <c r="BG228" s="1643"/>
    </row>
    <row customHeight="1" ht="11.25">
      <c r="A229" s="1174" t="s">
        <v>1040</v>
      </c>
      <c r="B229" s="1174"/>
      <c r="C229" s="1174"/>
      <c r="D229" s="1168"/>
      <c r="E229" s="1178"/>
      <c r="F229" s="1836"/>
      <c r="G229" s="1837"/>
      <c r="H229" s="2536" t="s">
        <v>1166</v>
      </c>
      <c r="I229" s="2537"/>
      <c r="J229" s="2506"/>
      <c r="K229" s="2538"/>
      <c r="L229" s="2128"/>
      <c r="M229" s="2129"/>
      <c r="N229" s="1183"/>
      <c r="O229" s="1184"/>
      <c r="P229" s="1176" t="s">
        <v>1087</v>
      </c>
      <c r="Q229" s="1184"/>
      <c r="R229" s="1184"/>
      <c r="S229" s="1184"/>
      <c r="T229" s="1184"/>
      <c r="U229" s="1184"/>
      <c r="V229" s="1184"/>
      <c r="W229" s="1184"/>
      <c r="X229" s="1184"/>
      <c r="Y229" s="1184"/>
      <c r="Z229" s="1184"/>
      <c r="AA229" s="1184"/>
      <c r="AB229" s="1184"/>
      <c r="AC229" s="1184"/>
      <c r="AD229" s="1184"/>
      <c r="AE229" s="1191"/>
      <c r="AF229" s="2527"/>
      <c r="AG229" s="2528"/>
      <c r="AH229" s="2528"/>
      <c r="AI229" s="2734"/>
      <c r="AJ229" s="2528"/>
      <c r="AK229" s="2528"/>
      <c r="AL229" s="1993"/>
      <c r="AM229" s="1830"/>
      <c r="AN229" s="1830"/>
      <c r="AO229" s="1830"/>
      <c r="AP229" s="1830"/>
      <c r="AQ229" s="1830"/>
      <c r="AR229" s="1830"/>
      <c r="AS229" s="1830"/>
      <c r="AT229" s="1830"/>
      <c r="AU229" s="1830"/>
      <c r="AV229" s="1830"/>
      <c r="AW229" s="1830"/>
      <c r="AX229" s="1830"/>
      <c r="AY229" s="1830"/>
      <c r="AZ229" s="1830"/>
      <c r="BA229" s="1830"/>
      <c r="BB229" s="1830"/>
      <c r="BC229" s="1830"/>
      <c r="BD229" s="1830"/>
      <c r="BE229" s="1830"/>
      <c r="BF229" s="1830"/>
      <c r="BG229" s="1643"/>
    </row>
    <row customHeight="1" ht="11.25">
      <c r="A230" s="1174" t="s">
        <v>1040</v>
      </c>
      <c r="B230" s="1174" t="s">
        <v>1119</v>
      </c>
      <c r="C230" s="1174"/>
      <c r="D230" s="1168"/>
      <c r="E230" s="1178"/>
      <c r="F230" s="1836"/>
      <c r="G230" s="691" t="s">
        <v>103</v>
      </c>
      <c r="H230" s="2536" t="s">
        <v>1171</v>
      </c>
      <c r="I230" s="2537" t="s">
        <v>1121</v>
      </c>
      <c r="J230" s="2506" t="s">
        <v>1125</v>
      </c>
      <c r="K230" s="2538" t="s">
        <v>1172</v>
      </c>
      <c r="L230" s="2128" t="s">
        <v>19</v>
      </c>
      <c r="M230" s="2129"/>
      <c r="N230" s="1991"/>
      <c r="O230" s="1185" t="s">
        <v>393</v>
      </c>
      <c r="P230" s="1186"/>
      <c r="Q230" s="1186"/>
      <c r="R230" s="1186"/>
      <c r="S230" s="1186"/>
      <c r="T230" s="1186"/>
      <c r="U230" s="1186"/>
      <c r="V230" s="1186"/>
      <c r="W230" s="1186"/>
      <c r="X230" s="1186"/>
      <c r="Y230" s="1186"/>
      <c r="Z230" s="1186"/>
      <c r="AA230" s="1186"/>
      <c r="AB230" s="1186"/>
      <c r="AC230" s="1186"/>
      <c r="AD230" s="1186"/>
      <c r="AE230" s="1186"/>
      <c r="AF230" s="2527">
        <v>1</v>
      </c>
      <c r="AG230" s="2528" t="s">
        <v>1076</v>
      </c>
      <c r="AH230" s="2528" t="s">
        <v>1091</v>
      </c>
      <c r="AI230" s="2734"/>
      <c r="AJ230" s="2528" t="s">
        <v>1132</v>
      </c>
      <c r="AK230" s="2528" t="s">
        <v>1132</v>
      </c>
      <c r="AL230" s="1993"/>
      <c r="AM230" s="1830"/>
      <c r="AN230" s="1830"/>
      <c r="AO230" s="1830"/>
      <c r="AP230" s="1830"/>
      <c r="AQ230" s="1830"/>
      <c r="AR230" s="1830"/>
      <c r="AS230" s="1830"/>
      <c r="AT230" s="1830"/>
      <c r="AU230" s="1830"/>
      <c r="AV230" s="1830"/>
      <c r="AW230" s="1830"/>
      <c r="AX230" s="1830"/>
      <c r="AY230" s="1830"/>
      <c r="AZ230" s="1830"/>
      <c r="BA230" s="1830"/>
      <c r="BB230" s="1830"/>
      <c r="BC230" s="1830"/>
      <c r="BD230" s="1830"/>
      <c r="BE230" s="1830"/>
      <c r="BF230" s="1830"/>
      <c r="BG230" s="1643"/>
    </row>
    <row customHeight="1" ht="11.25">
      <c r="A231" s="1174" t="s">
        <v>1040</v>
      </c>
      <c r="B231" s="1174"/>
      <c r="C231" s="1174"/>
      <c r="D231" s="1168"/>
      <c r="E231" s="1178"/>
      <c r="F231" s="1836"/>
      <c r="G231" s="1837"/>
      <c r="H231" s="2536" t="s">
        <v>1169</v>
      </c>
      <c r="I231" s="2537"/>
      <c r="J231" s="2506"/>
      <c r="K231" s="2538"/>
      <c r="L231" s="2128"/>
      <c r="M231" s="2129"/>
      <c r="N231" s="2529"/>
      <c r="O231" s="2530">
        <v>1</v>
      </c>
      <c r="P231" s="2531" t="s">
        <v>61</v>
      </c>
      <c r="Q231" s="2735" t="s">
        <v>1079</v>
      </c>
      <c r="R231" s="2736" t="s">
        <v>1080</v>
      </c>
      <c r="S231" s="2736" t="s">
        <v>99</v>
      </c>
      <c r="T231" s="2736" t="s">
        <v>99</v>
      </c>
      <c r="U231" s="2736" t="s">
        <v>100</v>
      </c>
      <c r="V231" s="2736" t="s">
        <v>1081</v>
      </c>
      <c r="W231" s="2736" t="s">
        <v>1082</v>
      </c>
      <c r="X231" s="2736" t="s">
        <v>1083</v>
      </c>
      <c r="Y231" s="2736" t="s">
        <v>1084</v>
      </c>
      <c r="Z231" s="1183"/>
      <c r="AA231" s="1184"/>
      <c r="AB231" s="1184"/>
      <c r="AC231" s="1188"/>
      <c r="AD231" s="1188"/>
      <c r="AE231" s="1189"/>
      <c r="AF231" s="2527"/>
      <c r="AG231" s="2528"/>
      <c r="AH231" s="2528"/>
      <c r="AI231" s="2734"/>
      <c r="AJ231" s="2528"/>
      <c r="AK231" s="2528"/>
      <c r="AL231" s="1993"/>
      <c r="AM231" s="1830"/>
      <c r="AN231" s="1830"/>
      <c r="AO231" s="1830"/>
      <c r="AP231" s="1830"/>
      <c r="AQ231" s="1830"/>
      <c r="AR231" s="1830"/>
      <c r="AS231" s="1830"/>
      <c r="AT231" s="1830"/>
      <c r="AU231" s="1830"/>
      <c r="AV231" s="1830"/>
      <c r="AW231" s="1830"/>
      <c r="AX231" s="1830"/>
      <c r="AY231" s="1830"/>
      <c r="AZ231" s="1830"/>
      <c r="BA231" s="1830"/>
      <c r="BB231" s="1830"/>
      <c r="BC231" s="1830"/>
      <c r="BD231" s="1830"/>
      <c r="BE231" s="1830"/>
      <c r="BF231" s="1830"/>
      <c r="BG231" s="1643"/>
    </row>
    <row customHeight="1" ht="11.25">
      <c r="A232" s="1174" t="s">
        <v>1040</v>
      </c>
      <c r="B232" s="1174"/>
      <c r="C232" s="1174"/>
      <c r="D232" s="1168"/>
      <c r="E232" s="1178"/>
      <c r="F232" s="1836"/>
      <c r="G232" s="1837"/>
      <c r="H232" s="2536" t="s">
        <v>1169</v>
      </c>
      <c r="I232" s="2537"/>
      <c r="J232" s="2506"/>
      <c r="K232" s="2538"/>
      <c r="L232" s="2128"/>
      <c r="M232" s="2129"/>
      <c r="N232" s="2529"/>
      <c r="O232" s="2530"/>
      <c r="P232" s="2532"/>
      <c r="Q232" s="2735"/>
      <c r="R232" s="2534"/>
      <c r="S232" s="2535"/>
      <c r="T232" s="2534"/>
      <c r="U232" s="2534"/>
      <c r="V232" s="2534"/>
      <c r="W232" s="2534"/>
      <c r="X232" s="2534"/>
      <c r="Y232" s="2534"/>
      <c r="Z232" s="1835"/>
      <c r="AA232" s="1801">
        <v>1</v>
      </c>
      <c r="AB232" s="1187" t="s">
        <v>1114</v>
      </c>
      <c r="AC232" s="1177">
        <v>12284.8</v>
      </c>
      <c r="AD232" s="1187" t="str">
        <f>AB232</f>
        <v>  За счет платы за технологическое присоединение</v>
      </c>
      <c r="AE232" s="1177">
        <v>0</v>
      </c>
      <c r="AF232" s="2527"/>
      <c r="AG232" s="2528"/>
      <c r="AH232" s="2528"/>
      <c r="AI232" s="2734"/>
      <c r="AJ232" s="2528"/>
      <c r="AK232" s="2528"/>
      <c r="AL232" s="1993"/>
      <c r="AM232" s="1830"/>
      <c r="AN232" s="1830"/>
      <c r="AO232" s="1830"/>
      <c r="AP232" s="1830"/>
      <c r="AQ232" s="1830"/>
      <c r="AR232" s="1830"/>
      <c r="AS232" s="1830"/>
      <c r="AT232" s="1830"/>
      <c r="AU232" s="1830"/>
      <c r="AV232" s="1830"/>
      <c r="AW232" s="1830"/>
      <c r="AX232" s="1830"/>
      <c r="AY232" s="1830"/>
      <c r="AZ232" s="1830"/>
      <c r="BA232" s="1830"/>
      <c r="BB232" s="1830"/>
      <c r="BC232" s="1830"/>
      <c r="BD232" s="1830"/>
      <c r="BE232" s="1830"/>
      <c r="BF232" s="1830"/>
      <c r="BG232" s="1643"/>
    </row>
    <row customHeight="1" ht="11.25">
      <c r="A233" s="1174" t="s">
        <v>1040</v>
      </c>
      <c r="B233" s="1174"/>
      <c r="C233" s="1174"/>
      <c r="D233" s="1168"/>
      <c r="E233" s="1178"/>
      <c r="F233" s="1837"/>
      <c r="G233" s="1837"/>
      <c r="H233" s="1837"/>
      <c r="I233" s="1837"/>
      <c r="J233" s="1837"/>
      <c r="K233" s="1837"/>
      <c r="L233" s="1837"/>
      <c r="M233" s="1837"/>
      <c r="N233" s="1837"/>
      <c r="O233" s="1837"/>
      <c r="P233" s="1837"/>
      <c r="Q233" s="1837"/>
      <c r="R233" s="1837"/>
      <c r="S233" s="1837"/>
      <c r="T233" s="1837"/>
      <c r="U233" s="1837"/>
      <c r="V233" s="1837"/>
      <c r="W233" s="1837"/>
      <c r="X233" s="1837"/>
      <c r="Y233" s="1837"/>
      <c r="Z233" s="691" t="s">
        <v>103</v>
      </c>
      <c r="AA233" s="1821" t="s">
        <v>102</v>
      </c>
      <c r="AB233" s="1187" t="s">
        <v>1085</v>
      </c>
      <c r="AC233" s="1177">
        <v>2456.96</v>
      </c>
      <c r="AD233" s="1187" t="str">
        <f>AB233</f>
        <v>  Прочие собственные средства</v>
      </c>
      <c r="AE233" s="1177">
        <v>0</v>
      </c>
      <c r="AF233" s="2094"/>
      <c r="AG233" s="1766"/>
      <c r="AH233" s="1766"/>
      <c r="AI233" s="2740"/>
      <c r="AJ233" s="1766"/>
      <c r="AK233" s="1992"/>
      <c r="AL233" s="1993"/>
      <c r="AM233" s="1830"/>
      <c r="AN233" s="1830"/>
      <c r="AO233" s="1830"/>
      <c r="AP233" s="1830"/>
      <c r="AQ233" s="1830"/>
      <c r="AR233" s="1830"/>
      <c r="AS233" s="1830"/>
      <c r="AT233" s="1830"/>
      <c r="AU233" s="1830"/>
      <c r="AV233" s="1830"/>
      <c r="AW233" s="1830"/>
      <c r="AX233" s="1830"/>
      <c r="AY233" s="1830"/>
      <c r="AZ233" s="1830"/>
      <c r="BA233" s="1830"/>
      <c r="BB233" s="1830"/>
      <c r="BC233" s="1830"/>
      <c r="BD233" s="1830"/>
      <c r="BE233" s="1830"/>
      <c r="BF233" s="1830"/>
      <c r="BG233" s="1643"/>
    </row>
    <row customHeight="1" ht="11.25">
      <c r="A234" s="1174" t="s">
        <v>1040</v>
      </c>
      <c r="B234" s="1174"/>
      <c r="C234" s="1174"/>
      <c r="D234" s="1168"/>
      <c r="E234" s="1178"/>
      <c r="F234" s="1836"/>
      <c r="G234" s="1837"/>
      <c r="H234" s="2536" t="s">
        <v>1169</v>
      </c>
      <c r="I234" s="2537"/>
      <c r="J234" s="2506"/>
      <c r="K234" s="2538"/>
      <c r="L234" s="2128"/>
      <c r="M234" s="2129"/>
      <c r="N234" s="2529"/>
      <c r="O234" s="2530"/>
      <c r="P234" s="2533"/>
      <c r="Q234" s="2735"/>
      <c r="R234" s="2534"/>
      <c r="S234" s="2535"/>
      <c r="T234" s="2534"/>
      <c r="U234" s="2534"/>
      <c r="V234" s="2534"/>
      <c r="W234" s="2534"/>
      <c r="X234" s="2534"/>
      <c r="Y234" s="2534"/>
      <c r="Z234" s="1183"/>
      <c r="AA234" s="1184"/>
      <c r="AB234" s="1249" t="s">
        <v>1086</v>
      </c>
      <c r="AC234" s="1188"/>
      <c r="AD234" s="1188"/>
      <c r="AE234" s="1190"/>
      <c r="AF234" s="2527"/>
      <c r="AG234" s="2528"/>
      <c r="AH234" s="2528"/>
      <c r="AI234" s="2734"/>
      <c r="AJ234" s="2528"/>
      <c r="AK234" s="2528"/>
      <c r="AL234" s="1993"/>
      <c r="AM234" s="1830"/>
      <c r="AN234" s="1830"/>
      <c r="AO234" s="1830"/>
      <c r="AP234" s="1830"/>
      <c r="AQ234" s="1830"/>
      <c r="AR234" s="1830"/>
      <c r="AS234" s="1830"/>
      <c r="AT234" s="1830"/>
      <c r="AU234" s="1830"/>
      <c r="AV234" s="1830"/>
      <c r="AW234" s="1830"/>
      <c r="AX234" s="1830"/>
      <c r="AY234" s="1830"/>
      <c r="AZ234" s="1830"/>
      <c r="BA234" s="1830"/>
      <c r="BB234" s="1830"/>
      <c r="BC234" s="1830"/>
      <c r="BD234" s="1830"/>
      <c r="BE234" s="1830"/>
      <c r="BF234" s="1830"/>
      <c r="BG234" s="1643"/>
    </row>
    <row customHeight="1" ht="11.25">
      <c r="A235" s="1174" t="s">
        <v>1040</v>
      </c>
      <c r="B235" s="1174"/>
      <c r="C235" s="1174"/>
      <c r="D235" s="1168"/>
      <c r="E235" s="1178"/>
      <c r="F235" s="1836"/>
      <c r="G235" s="1837"/>
      <c r="H235" s="2536" t="s">
        <v>1169</v>
      </c>
      <c r="I235" s="2537"/>
      <c r="J235" s="2506"/>
      <c r="K235" s="2538"/>
      <c r="L235" s="2128"/>
      <c r="M235" s="2129"/>
      <c r="N235" s="1183"/>
      <c r="O235" s="1184"/>
      <c r="P235" s="1176" t="s">
        <v>1087</v>
      </c>
      <c r="Q235" s="1184"/>
      <c r="R235" s="1184"/>
      <c r="S235" s="1184"/>
      <c r="T235" s="1184"/>
      <c r="U235" s="1184"/>
      <c r="V235" s="1184"/>
      <c r="W235" s="1184"/>
      <c r="X235" s="1184"/>
      <c r="Y235" s="1184"/>
      <c r="Z235" s="1184"/>
      <c r="AA235" s="1184"/>
      <c r="AB235" s="1184"/>
      <c r="AC235" s="1184"/>
      <c r="AD235" s="1184"/>
      <c r="AE235" s="1191"/>
      <c r="AF235" s="2527"/>
      <c r="AG235" s="2528"/>
      <c r="AH235" s="2528"/>
      <c r="AI235" s="2734"/>
      <c r="AJ235" s="2528"/>
      <c r="AK235" s="2528"/>
      <c r="AL235" s="1993"/>
      <c r="AM235" s="1830"/>
      <c r="AN235" s="1830"/>
      <c r="AO235" s="1830"/>
      <c r="AP235" s="1830"/>
      <c r="AQ235" s="1830"/>
      <c r="AR235" s="1830"/>
      <c r="AS235" s="1830"/>
      <c r="AT235" s="1830"/>
      <c r="AU235" s="1830"/>
      <c r="AV235" s="1830"/>
      <c r="AW235" s="1830"/>
      <c r="AX235" s="1830"/>
      <c r="AY235" s="1830"/>
      <c r="AZ235" s="1830"/>
      <c r="BA235" s="1830"/>
      <c r="BB235" s="1830"/>
      <c r="BC235" s="1830"/>
      <c r="BD235" s="1830"/>
      <c r="BE235" s="1830"/>
      <c r="BF235" s="1830"/>
      <c r="BG235" s="1643"/>
    </row>
    <row customHeight="1" ht="11.25">
      <c r="A236" s="1174" t="s">
        <v>1040</v>
      </c>
      <c r="B236" s="1174" t="s">
        <v>1119</v>
      </c>
      <c r="C236" s="1174"/>
      <c r="D236" s="1168"/>
      <c r="E236" s="1178"/>
      <c r="F236" s="1836"/>
      <c r="G236" s="691" t="s">
        <v>103</v>
      </c>
      <c r="H236" s="2536" t="s">
        <v>1173</v>
      </c>
      <c r="I236" s="2537" t="s">
        <v>1121</v>
      </c>
      <c r="J236" s="2506" t="s">
        <v>1125</v>
      </c>
      <c r="K236" s="2538" t="s">
        <v>1174</v>
      </c>
      <c r="L236" s="2128" t="s">
        <v>19</v>
      </c>
      <c r="M236" s="2129"/>
      <c r="N236" s="1991"/>
      <c r="O236" s="1185" t="s">
        <v>393</v>
      </c>
      <c r="P236" s="1186"/>
      <c r="Q236" s="1186"/>
      <c r="R236" s="1186"/>
      <c r="S236" s="1186"/>
      <c r="T236" s="1186"/>
      <c r="U236" s="1186"/>
      <c r="V236" s="1186"/>
      <c r="W236" s="1186"/>
      <c r="X236" s="1186"/>
      <c r="Y236" s="1186"/>
      <c r="Z236" s="1186"/>
      <c r="AA236" s="1186"/>
      <c r="AB236" s="1186"/>
      <c r="AC236" s="1186"/>
      <c r="AD236" s="1186"/>
      <c r="AE236" s="1186"/>
      <c r="AF236" s="2527">
        <v>1</v>
      </c>
      <c r="AG236" s="2528" t="s">
        <v>1076</v>
      </c>
      <c r="AH236" s="2528" t="s">
        <v>1091</v>
      </c>
      <c r="AI236" s="2734"/>
      <c r="AJ236" s="2528" t="s">
        <v>1132</v>
      </c>
      <c r="AK236" s="2528" t="s">
        <v>1132</v>
      </c>
      <c r="AL236" s="1993"/>
      <c r="AM236" s="1830"/>
      <c r="AN236" s="1830"/>
      <c r="AO236" s="1830"/>
      <c r="AP236" s="1830"/>
      <c r="AQ236" s="1830"/>
      <c r="AR236" s="1830"/>
      <c r="AS236" s="1830"/>
      <c r="AT236" s="1830"/>
      <c r="AU236" s="1830"/>
      <c r="AV236" s="1830"/>
      <c r="AW236" s="1830"/>
      <c r="AX236" s="1830"/>
      <c r="AY236" s="1830"/>
      <c r="AZ236" s="1830"/>
      <c r="BA236" s="1830"/>
      <c r="BB236" s="1830"/>
      <c r="BC236" s="1830"/>
      <c r="BD236" s="1830"/>
      <c r="BE236" s="1830"/>
      <c r="BF236" s="1830"/>
      <c r="BG236" s="1643"/>
    </row>
    <row customHeight="1" ht="11.25">
      <c r="A237" s="1174" t="s">
        <v>1040</v>
      </c>
      <c r="B237" s="1174"/>
      <c r="C237" s="1174"/>
      <c r="D237" s="1168"/>
      <c r="E237" s="1178"/>
      <c r="F237" s="1836"/>
      <c r="G237" s="1837"/>
      <c r="H237" s="2536" t="s">
        <v>1171</v>
      </c>
      <c r="I237" s="2537"/>
      <c r="J237" s="2506"/>
      <c r="K237" s="2538"/>
      <c r="L237" s="2128"/>
      <c r="M237" s="2129"/>
      <c r="N237" s="2529"/>
      <c r="O237" s="2530">
        <v>1</v>
      </c>
      <c r="P237" s="2531" t="s">
        <v>61</v>
      </c>
      <c r="Q237" s="2735" t="s">
        <v>1079</v>
      </c>
      <c r="R237" s="2736" t="s">
        <v>1080</v>
      </c>
      <c r="S237" s="2736" t="s">
        <v>99</v>
      </c>
      <c r="T237" s="2736" t="s">
        <v>99</v>
      </c>
      <c r="U237" s="2736" t="s">
        <v>100</v>
      </c>
      <c r="V237" s="2736" t="s">
        <v>1081</v>
      </c>
      <c r="W237" s="2736" t="s">
        <v>1082</v>
      </c>
      <c r="X237" s="2736" t="s">
        <v>1083</v>
      </c>
      <c r="Y237" s="2736" t="s">
        <v>1084</v>
      </c>
      <c r="Z237" s="1183"/>
      <c r="AA237" s="1184"/>
      <c r="AB237" s="1184"/>
      <c r="AC237" s="1188"/>
      <c r="AD237" s="1188"/>
      <c r="AE237" s="1189"/>
      <c r="AF237" s="2527"/>
      <c r="AG237" s="2528"/>
      <c r="AH237" s="2528"/>
      <c r="AI237" s="2734"/>
      <c r="AJ237" s="2528"/>
      <c r="AK237" s="2528"/>
      <c r="AL237" s="1993"/>
      <c r="AM237" s="1830"/>
      <c r="AN237" s="1830"/>
      <c r="AO237" s="1830"/>
      <c r="AP237" s="1830"/>
      <c r="AQ237" s="1830"/>
      <c r="AR237" s="1830"/>
      <c r="AS237" s="1830"/>
      <c r="AT237" s="1830"/>
      <c r="AU237" s="1830"/>
      <c r="AV237" s="1830"/>
      <c r="AW237" s="1830"/>
      <c r="AX237" s="1830"/>
      <c r="AY237" s="1830"/>
      <c r="AZ237" s="1830"/>
      <c r="BA237" s="1830"/>
      <c r="BB237" s="1830"/>
      <c r="BC237" s="1830"/>
      <c r="BD237" s="1830"/>
      <c r="BE237" s="1830"/>
      <c r="BF237" s="1830"/>
      <c r="BG237" s="1643"/>
    </row>
    <row customHeight="1" ht="11.25">
      <c r="A238" s="1174" t="s">
        <v>1040</v>
      </c>
      <c r="B238" s="1174"/>
      <c r="C238" s="1174"/>
      <c r="D238" s="1168"/>
      <c r="E238" s="1178"/>
      <c r="F238" s="1836"/>
      <c r="G238" s="1837"/>
      <c r="H238" s="2536" t="s">
        <v>1171</v>
      </c>
      <c r="I238" s="2537"/>
      <c r="J238" s="2506"/>
      <c r="K238" s="2538"/>
      <c r="L238" s="2128"/>
      <c r="M238" s="2129"/>
      <c r="N238" s="2529"/>
      <c r="O238" s="2530"/>
      <c r="P238" s="2532"/>
      <c r="Q238" s="2735"/>
      <c r="R238" s="2534"/>
      <c r="S238" s="2535"/>
      <c r="T238" s="2534"/>
      <c r="U238" s="2534"/>
      <c r="V238" s="2534"/>
      <c r="W238" s="2534"/>
      <c r="X238" s="2534"/>
      <c r="Y238" s="2534"/>
      <c r="Z238" s="1835"/>
      <c r="AA238" s="1801">
        <v>1</v>
      </c>
      <c r="AB238" s="1187" t="s">
        <v>1114</v>
      </c>
      <c r="AC238" s="1177">
        <v>3189.66</v>
      </c>
      <c r="AD238" s="1187" t="str">
        <f>AB238</f>
        <v>  За счет платы за технологическое присоединение</v>
      </c>
      <c r="AE238" s="1177">
        <v>0</v>
      </c>
      <c r="AF238" s="2527"/>
      <c r="AG238" s="2528"/>
      <c r="AH238" s="2528"/>
      <c r="AI238" s="2734"/>
      <c r="AJ238" s="2528"/>
      <c r="AK238" s="2528"/>
      <c r="AL238" s="1993"/>
      <c r="AM238" s="1830"/>
      <c r="AN238" s="1830"/>
      <c r="AO238" s="1830"/>
      <c r="AP238" s="1830"/>
      <c r="AQ238" s="1830"/>
      <c r="AR238" s="1830"/>
      <c r="AS238" s="1830"/>
      <c r="AT238" s="1830"/>
      <c r="AU238" s="1830"/>
      <c r="AV238" s="1830"/>
      <c r="AW238" s="1830"/>
      <c r="AX238" s="1830"/>
      <c r="AY238" s="1830"/>
      <c r="AZ238" s="1830"/>
      <c r="BA238" s="1830"/>
      <c r="BB238" s="1830"/>
      <c r="BC238" s="1830"/>
      <c r="BD238" s="1830"/>
      <c r="BE238" s="1830"/>
      <c r="BF238" s="1830"/>
      <c r="BG238" s="1643"/>
    </row>
    <row customHeight="1" ht="11.25">
      <c r="A239" s="1174" t="s">
        <v>1040</v>
      </c>
      <c r="B239" s="1174"/>
      <c r="C239" s="1174"/>
      <c r="D239" s="1168"/>
      <c r="E239" s="1178"/>
      <c r="F239" s="1837"/>
      <c r="G239" s="1837"/>
      <c r="H239" s="1837"/>
      <c r="I239" s="1837"/>
      <c r="J239" s="1837"/>
      <c r="K239" s="1837"/>
      <c r="L239" s="1837"/>
      <c r="M239" s="1837"/>
      <c r="N239" s="1837"/>
      <c r="O239" s="1837"/>
      <c r="P239" s="1837"/>
      <c r="Q239" s="1837"/>
      <c r="R239" s="1837"/>
      <c r="S239" s="1837"/>
      <c r="T239" s="1837"/>
      <c r="U239" s="1837"/>
      <c r="V239" s="1837"/>
      <c r="W239" s="1837"/>
      <c r="X239" s="1837"/>
      <c r="Y239" s="1837"/>
      <c r="Z239" s="691" t="s">
        <v>103</v>
      </c>
      <c r="AA239" s="1821" t="s">
        <v>102</v>
      </c>
      <c r="AB239" s="1187" t="s">
        <v>1085</v>
      </c>
      <c r="AC239" s="1177">
        <v>637.93</v>
      </c>
      <c r="AD239" s="1187" t="str">
        <f>AB239</f>
        <v>  Прочие собственные средства</v>
      </c>
      <c r="AE239" s="1177">
        <v>0</v>
      </c>
      <c r="AF239" s="2094"/>
      <c r="AG239" s="1766"/>
      <c r="AH239" s="1766"/>
      <c r="AI239" s="2740"/>
      <c r="AJ239" s="1766"/>
      <c r="AK239" s="1992"/>
      <c r="AL239" s="1993"/>
      <c r="AM239" s="1830"/>
      <c r="AN239" s="1830"/>
      <c r="AO239" s="1830"/>
      <c r="AP239" s="1830"/>
      <c r="AQ239" s="1830"/>
      <c r="AR239" s="1830"/>
      <c r="AS239" s="1830"/>
      <c r="AT239" s="1830"/>
      <c r="AU239" s="1830"/>
      <c r="AV239" s="1830"/>
      <c r="AW239" s="1830"/>
      <c r="AX239" s="1830"/>
      <c r="AY239" s="1830"/>
      <c r="AZ239" s="1830"/>
      <c r="BA239" s="1830"/>
      <c r="BB239" s="1830"/>
      <c r="BC239" s="1830"/>
      <c r="BD239" s="1830"/>
      <c r="BE239" s="1830"/>
      <c r="BF239" s="1830"/>
      <c r="BG239" s="1643"/>
    </row>
    <row customHeight="1" ht="11.25">
      <c r="A240" s="1174" t="s">
        <v>1040</v>
      </c>
      <c r="B240" s="1174"/>
      <c r="C240" s="1174"/>
      <c r="D240" s="1168"/>
      <c r="E240" s="1178"/>
      <c r="F240" s="1836"/>
      <c r="G240" s="1837"/>
      <c r="H240" s="2536" t="s">
        <v>1171</v>
      </c>
      <c r="I240" s="2537"/>
      <c r="J240" s="2506"/>
      <c r="K240" s="2538"/>
      <c r="L240" s="2128"/>
      <c r="M240" s="2129"/>
      <c r="N240" s="2529"/>
      <c r="O240" s="2530"/>
      <c r="P240" s="2533"/>
      <c r="Q240" s="2735"/>
      <c r="R240" s="2534"/>
      <c r="S240" s="2535"/>
      <c r="T240" s="2534"/>
      <c r="U240" s="2534"/>
      <c r="V240" s="2534"/>
      <c r="W240" s="2534"/>
      <c r="X240" s="2534"/>
      <c r="Y240" s="2534"/>
      <c r="Z240" s="1183"/>
      <c r="AA240" s="1184"/>
      <c r="AB240" s="1249" t="s">
        <v>1086</v>
      </c>
      <c r="AC240" s="1188"/>
      <c r="AD240" s="1188"/>
      <c r="AE240" s="1190"/>
      <c r="AF240" s="2527"/>
      <c r="AG240" s="2528"/>
      <c r="AH240" s="2528"/>
      <c r="AI240" s="2734"/>
      <c r="AJ240" s="2528"/>
      <c r="AK240" s="2528"/>
      <c r="AL240" s="1993"/>
      <c r="AM240" s="1830"/>
      <c r="AN240" s="1830"/>
      <c r="AO240" s="1830"/>
      <c r="AP240" s="1830"/>
      <c r="AQ240" s="1830"/>
      <c r="AR240" s="1830"/>
      <c r="AS240" s="1830"/>
      <c r="AT240" s="1830"/>
      <c r="AU240" s="1830"/>
      <c r="AV240" s="1830"/>
      <c r="AW240" s="1830"/>
      <c r="AX240" s="1830"/>
      <c r="AY240" s="1830"/>
      <c r="AZ240" s="1830"/>
      <c r="BA240" s="1830"/>
      <c r="BB240" s="1830"/>
      <c r="BC240" s="1830"/>
      <c r="BD240" s="1830"/>
      <c r="BE240" s="1830"/>
      <c r="BF240" s="1830"/>
      <c r="BG240" s="1643"/>
    </row>
    <row customHeight="1" ht="11.25">
      <c r="A241" s="1174" t="s">
        <v>1040</v>
      </c>
      <c r="B241" s="1174"/>
      <c r="C241" s="1174"/>
      <c r="D241" s="1168"/>
      <c r="E241" s="1178"/>
      <c r="F241" s="1836"/>
      <c r="G241" s="1837"/>
      <c r="H241" s="2536" t="s">
        <v>1171</v>
      </c>
      <c r="I241" s="2537"/>
      <c r="J241" s="2506"/>
      <c r="K241" s="2538"/>
      <c r="L241" s="2128"/>
      <c r="M241" s="2129"/>
      <c r="N241" s="1183"/>
      <c r="O241" s="1184"/>
      <c r="P241" s="1176" t="s">
        <v>1087</v>
      </c>
      <c r="Q241" s="1184"/>
      <c r="R241" s="1184"/>
      <c r="S241" s="1184"/>
      <c r="T241" s="1184"/>
      <c r="U241" s="1184"/>
      <c r="V241" s="1184"/>
      <c r="W241" s="1184"/>
      <c r="X241" s="1184"/>
      <c r="Y241" s="1184"/>
      <c r="Z241" s="1184"/>
      <c r="AA241" s="1184"/>
      <c r="AB241" s="1184"/>
      <c r="AC241" s="1184"/>
      <c r="AD241" s="1184"/>
      <c r="AE241" s="1191"/>
      <c r="AF241" s="2527"/>
      <c r="AG241" s="2528"/>
      <c r="AH241" s="2528"/>
      <c r="AI241" s="2734"/>
      <c r="AJ241" s="2528"/>
      <c r="AK241" s="2528"/>
      <c r="AL241" s="1993"/>
      <c r="AM241" s="1830"/>
      <c r="AN241" s="1830"/>
      <c r="AO241" s="1830"/>
      <c r="AP241" s="1830"/>
      <c r="AQ241" s="1830"/>
      <c r="AR241" s="1830"/>
      <c r="AS241" s="1830"/>
      <c r="AT241" s="1830"/>
      <c r="AU241" s="1830"/>
      <c r="AV241" s="1830"/>
      <c r="AW241" s="1830"/>
      <c r="AX241" s="1830"/>
      <c r="AY241" s="1830"/>
      <c r="AZ241" s="1830"/>
      <c r="BA241" s="1830"/>
      <c r="BB241" s="1830"/>
      <c r="BC241" s="1830"/>
      <c r="BD241" s="1830"/>
      <c r="BE241" s="1830"/>
      <c r="BF241" s="1830"/>
      <c r="BG241" s="1643"/>
    </row>
    <row customHeight="1" ht="11.25">
      <c r="A242" s="1174" t="s">
        <v>1040</v>
      </c>
      <c r="B242" s="1174" t="s">
        <v>1119</v>
      </c>
      <c r="C242" s="1174"/>
      <c r="D242" s="1168"/>
      <c r="E242" s="1178"/>
      <c r="F242" s="1836"/>
      <c r="G242" s="691" t="s">
        <v>103</v>
      </c>
      <c r="H242" s="2536" t="s">
        <v>1175</v>
      </c>
      <c r="I242" s="2537" t="s">
        <v>1121</v>
      </c>
      <c r="J242" s="2506" t="s">
        <v>1125</v>
      </c>
      <c r="K242" s="2538" t="s">
        <v>1176</v>
      </c>
      <c r="L242" s="2128" t="s">
        <v>19</v>
      </c>
      <c r="M242" s="2129"/>
      <c r="N242" s="1991"/>
      <c r="O242" s="1185" t="s">
        <v>393</v>
      </c>
      <c r="P242" s="1186"/>
      <c r="Q242" s="1186"/>
      <c r="R242" s="1186"/>
      <c r="S242" s="1186"/>
      <c r="T242" s="1186"/>
      <c r="U242" s="1186"/>
      <c r="V242" s="1186"/>
      <c r="W242" s="1186"/>
      <c r="X242" s="1186"/>
      <c r="Y242" s="1186"/>
      <c r="Z242" s="1186"/>
      <c r="AA242" s="1186"/>
      <c r="AB242" s="1186"/>
      <c r="AC242" s="1186"/>
      <c r="AD242" s="1186"/>
      <c r="AE242" s="1186"/>
      <c r="AF242" s="2527">
        <v>1</v>
      </c>
      <c r="AG242" s="2528" t="s">
        <v>1076</v>
      </c>
      <c r="AH242" s="2528" t="s">
        <v>1091</v>
      </c>
      <c r="AI242" s="2527">
        <v>1</v>
      </c>
      <c r="AJ242" s="2528" t="s">
        <v>1100</v>
      </c>
      <c r="AK242" s="2528" t="s">
        <v>1093</v>
      </c>
      <c r="AL242" s="1993"/>
      <c r="AM242" s="1830"/>
      <c r="AN242" s="1830"/>
      <c r="AO242" s="1830"/>
      <c r="AP242" s="1830"/>
      <c r="AQ242" s="1830"/>
      <c r="AR242" s="1830"/>
      <c r="AS242" s="1830"/>
      <c r="AT242" s="1830"/>
      <c r="AU242" s="1830"/>
      <c r="AV242" s="1830"/>
      <c r="AW242" s="1830"/>
      <c r="AX242" s="1830"/>
      <c r="AY242" s="1830"/>
      <c r="AZ242" s="1830"/>
      <c r="BA242" s="1830"/>
      <c r="BB242" s="1830"/>
      <c r="BC242" s="1830"/>
      <c r="BD242" s="1830"/>
      <c r="BE242" s="1830"/>
      <c r="BF242" s="1830"/>
      <c r="BG242" s="1643"/>
    </row>
    <row customHeight="1" ht="11.25">
      <c r="A243" s="1174" t="s">
        <v>1040</v>
      </c>
      <c r="B243" s="1174"/>
      <c r="C243" s="1174"/>
      <c r="D243" s="1168"/>
      <c r="E243" s="1178"/>
      <c r="F243" s="1836"/>
      <c r="G243" s="1837"/>
      <c r="H243" s="2536" t="s">
        <v>1173</v>
      </c>
      <c r="I243" s="2537"/>
      <c r="J243" s="2506"/>
      <c r="K243" s="2538"/>
      <c r="L243" s="2128"/>
      <c r="M243" s="2129"/>
      <c r="N243" s="2529"/>
      <c r="O243" s="2530">
        <v>1</v>
      </c>
      <c r="P243" s="2531" t="s">
        <v>61</v>
      </c>
      <c r="Q243" s="2735" t="s">
        <v>1079</v>
      </c>
      <c r="R243" s="2736" t="s">
        <v>1080</v>
      </c>
      <c r="S243" s="2736" t="s">
        <v>99</v>
      </c>
      <c r="T243" s="2736" t="s">
        <v>99</v>
      </c>
      <c r="U243" s="2736" t="s">
        <v>100</v>
      </c>
      <c r="V243" s="2736" t="s">
        <v>1081</v>
      </c>
      <c r="W243" s="2736" t="s">
        <v>1082</v>
      </c>
      <c r="X243" s="2736" t="s">
        <v>1083</v>
      </c>
      <c r="Y243" s="2736" t="s">
        <v>1084</v>
      </c>
      <c r="Z243" s="1183"/>
      <c r="AA243" s="1184"/>
      <c r="AB243" s="1184"/>
      <c r="AC243" s="1188"/>
      <c r="AD243" s="1188"/>
      <c r="AE243" s="1189"/>
      <c r="AF243" s="2527"/>
      <c r="AG243" s="2528"/>
      <c r="AH243" s="2528"/>
      <c r="AI243" s="2527"/>
      <c r="AJ243" s="2528"/>
      <c r="AK243" s="2528"/>
      <c r="AL243" s="1993"/>
      <c r="AM243" s="1830"/>
      <c r="AN243" s="1830"/>
      <c r="AO243" s="1830"/>
      <c r="AP243" s="1830"/>
      <c r="AQ243" s="1830"/>
      <c r="AR243" s="1830"/>
      <c r="AS243" s="1830"/>
      <c r="AT243" s="1830"/>
      <c r="AU243" s="1830"/>
      <c r="AV243" s="1830"/>
      <c r="AW243" s="1830"/>
      <c r="AX243" s="1830"/>
      <c r="AY243" s="1830"/>
      <c r="AZ243" s="1830"/>
      <c r="BA243" s="1830"/>
      <c r="BB243" s="1830"/>
      <c r="BC243" s="1830"/>
      <c r="BD243" s="1830"/>
      <c r="BE243" s="1830"/>
      <c r="BF243" s="1830"/>
      <c r="BG243" s="1643"/>
    </row>
    <row customHeight="1" ht="11.25">
      <c r="A244" s="1174" t="s">
        <v>1040</v>
      </c>
      <c r="B244" s="1174"/>
      <c r="C244" s="1174"/>
      <c r="D244" s="1168"/>
      <c r="E244" s="1178"/>
      <c r="F244" s="1836"/>
      <c r="G244" s="1837"/>
      <c r="H244" s="2536" t="s">
        <v>1173</v>
      </c>
      <c r="I244" s="2537"/>
      <c r="J244" s="2506"/>
      <c r="K244" s="2538"/>
      <c r="L244" s="2128"/>
      <c r="M244" s="2129"/>
      <c r="N244" s="2529"/>
      <c r="O244" s="2530"/>
      <c r="P244" s="2532"/>
      <c r="Q244" s="2735"/>
      <c r="R244" s="2534"/>
      <c r="S244" s="2535"/>
      <c r="T244" s="2534"/>
      <c r="U244" s="2534"/>
      <c r="V244" s="2534"/>
      <c r="W244" s="2534"/>
      <c r="X244" s="2534"/>
      <c r="Y244" s="2534"/>
      <c r="Z244" s="1835"/>
      <c r="AA244" s="1801">
        <v>1</v>
      </c>
      <c r="AB244" s="1187" t="s">
        <v>1114</v>
      </c>
      <c r="AC244" s="1177">
        <v>521.65</v>
      </c>
      <c r="AD244" s="1187" t="str">
        <f>AB244</f>
        <v>  За счет платы за технологическое присоединение</v>
      </c>
      <c r="AE244" s="1177">
        <v>521.65471</v>
      </c>
      <c r="AF244" s="2527"/>
      <c r="AG244" s="2528"/>
      <c r="AH244" s="2528"/>
      <c r="AI244" s="2527"/>
      <c r="AJ244" s="2528"/>
      <c r="AK244" s="2528"/>
      <c r="AL244" s="1993"/>
      <c r="AM244" s="1830"/>
      <c r="AN244" s="1830"/>
      <c r="AO244" s="1830"/>
      <c r="AP244" s="1830"/>
      <c r="AQ244" s="1830"/>
      <c r="AR244" s="1830"/>
      <c r="AS244" s="1830"/>
      <c r="AT244" s="1830"/>
      <c r="AU244" s="1830"/>
      <c r="AV244" s="1830"/>
      <c r="AW244" s="1830"/>
      <c r="AX244" s="1830"/>
      <c r="AY244" s="1830"/>
      <c r="AZ244" s="1830"/>
      <c r="BA244" s="1830"/>
      <c r="BB244" s="1830"/>
      <c r="BC244" s="1830"/>
      <c r="BD244" s="1830"/>
      <c r="BE244" s="1830"/>
      <c r="BF244" s="1830"/>
      <c r="BG244" s="1643"/>
    </row>
    <row customHeight="1" ht="11.25">
      <c r="A245" s="1174" t="s">
        <v>1040</v>
      </c>
      <c r="B245" s="1174"/>
      <c r="C245" s="1174"/>
      <c r="D245" s="1168"/>
      <c r="E245" s="1178"/>
      <c r="F245" s="1837"/>
      <c r="G245" s="1837"/>
      <c r="H245" s="1837"/>
      <c r="I245" s="1837"/>
      <c r="J245" s="1837"/>
      <c r="K245" s="1837"/>
      <c r="L245" s="1837"/>
      <c r="M245" s="1837"/>
      <c r="N245" s="1837"/>
      <c r="O245" s="1837"/>
      <c r="P245" s="1837"/>
      <c r="Q245" s="1837"/>
      <c r="R245" s="1837"/>
      <c r="S245" s="1837"/>
      <c r="T245" s="1837"/>
      <c r="U245" s="1837"/>
      <c r="V245" s="1837"/>
      <c r="W245" s="1837"/>
      <c r="X245" s="1837"/>
      <c r="Y245" s="1837"/>
      <c r="Z245" s="691" t="s">
        <v>103</v>
      </c>
      <c r="AA245" s="1821" t="s">
        <v>102</v>
      </c>
      <c r="AB245" s="1187" t="s">
        <v>1085</v>
      </c>
      <c r="AC245" s="1177">
        <v>104.33</v>
      </c>
      <c r="AD245" s="1187" t="str">
        <f>AB245</f>
        <v>  Прочие собственные средства</v>
      </c>
      <c r="AE245" s="1177">
        <v>104.33094</v>
      </c>
      <c r="AF245" s="2094"/>
      <c r="AG245" s="1766"/>
      <c r="AH245" s="1766"/>
      <c r="AI245" s="2094"/>
      <c r="AJ245" s="1766"/>
      <c r="AK245" s="1992"/>
      <c r="AL245" s="1993"/>
      <c r="AM245" s="1830"/>
      <c r="AN245" s="1830"/>
      <c r="AO245" s="1830"/>
      <c r="AP245" s="1830"/>
      <c r="AQ245" s="1830"/>
      <c r="AR245" s="1830"/>
      <c r="AS245" s="1830"/>
      <c r="AT245" s="1830"/>
      <c r="AU245" s="1830"/>
      <c r="AV245" s="1830"/>
      <c r="AW245" s="1830"/>
      <c r="AX245" s="1830"/>
      <c r="AY245" s="1830"/>
      <c r="AZ245" s="1830"/>
      <c r="BA245" s="1830"/>
      <c r="BB245" s="1830"/>
      <c r="BC245" s="1830"/>
      <c r="BD245" s="1830"/>
      <c r="BE245" s="1830"/>
      <c r="BF245" s="1830"/>
      <c r="BG245" s="1643"/>
    </row>
    <row customHeight="1" ht="11.25">
      <c r="A246" s="1174" t="s">
        <v>1040</v>
      </c>
      <c r="B246" s="1174"/>
      <c r="C246" s="1174"/>
      <c r="D246" s="1168"/>
      <c r="E246" s="1178"/>
      <c r="F246" s="1836"/>
      <c r="G246" s="1837"/>
      <c r="H246" s="2536" t="s">
        <v>1173</v>
      </c>
      <c r="I246" s="2537"/>
      <c r="J246" s="2506"/>
      <c r="K246" s="2538"/>
      <c r="L246" s="2128"/>
      <c r="M246" s="2129"/>
      <c r="N246" s="2529"/>
      <c r="O246" s="2530"/>
      <c r="P246" s="2533"/>
      <c r="Q246" s="2735"/>
      <c r="R246" s="2534"/>
      <c r="S246" s="2535"/>
      <c r="T246" s="2534"/>
      <c r="U246" s="2534"/>
      <c r="V246" s="2534"/>
      <c r="W246" s="2534"/>
      <c r="X246" s="2534"/>
      <c r="Y246" s="2534"/>
      <c r="Z246" s="1183"/>
      <c r="AA246" s="1184"/>
      <c r="AB246" s="1249" t="s">
        <v>1086</v>
      </c>
      <c r="AC246" s="1188"/>
      <c r="AD246" s="1188"/>
      <c r="AE246" s="1190"/>
      <c r="AF246" s="2527"/>
      <c r="AG246" s="2528"/>
      <c r="AH246" s="2528"/>
      <c r="AI246" s="2527"/>
      <c r="AJ246" s="2528"/>
      <c r="AK246" s="2528"/>
      <c r="AL246" s="1993"/>
      <c r="AM246" s="1830"/>
      <c r="AN246" s="1830"/>
      <c r="AO246" s="1830"/>
      <c r="AP246" s="1830"/>
      <c r="AQ246" s="1830"/>
      <c r="AR246" s="1830"/>
      <c r="AS246" s="1830"/>
      <c r="AT246" s="1830"/>
      <c r="AU246" s="1830"/>
      <c r="AV246" s="1830"/>
      <c r="AW246" s="1830"/>
      <c r="AX246" s="1830"/>
      <c r="AY246" s="1830"/>
      <c r="AZ246" s="1830"/>
      <c r="BA246" s="1830"/>
      <c r="BB246" s="1830"/>
      <c r="BC246" s="1830"/>
      <c r="BD246" s="1830"/>
      <c r="BE246" s="1830"/>
      <c r="BF246" s="1830"/>
      <c r="BG246" s="1643"/>
    </row>
    <row customHeight="1" ht="11.25">
      <c r="A247" s="1174" t="s">
        <v>1040</v>
      </c>
      <c r="B247" s="1174"/>
      <c r="C247" s="1174"/>
      <c r="D247" s="1168"/>
      <c r="E247" s="1178"/>
      <c r="F247" s="1836"/>
      <c r="G247" s="1837"/>
      <c r="H247" s="2536" t="s">
        <v>1173</v>
      </c>
      <c r="I247" s="2537"/>
      <c r="J247" s="2506"/>
      <c r="K247" s="2538"/>
      <c r="L247" s="2128"/>
      <c r="M247" s="2129"/>
      <c r="N247" s="1183"/>
      <c r="O247" s="1184"/>
      <c r="P247" s="1176" t="s">
        <v>1087</v>
      </c>
      <c r="Q247" s="1184"/>
      <c r="R247" s="1184"/>
      <c r="S247" s="1184"/>
      <c r="T247" s="1184"/>
      <c r="U247" s="1184"/>
      <c r="V247" s="1184"/>
      <c r="W247" s="1184"/>
      <c r="X247" s="1184"/>
      <c r="Y247" s="1184"/>
      <c r="Z247" s="1184"/>
      <c r="AA247" s="1184"/>
      <c r="AB247" s="1184"/>
      <c r="AC247" s="1184"/>
      <c r="AD247" s="1184"/>
      <c r="AE247" s="1191"/>
      <c r="AF247" s="2527"/>
      <c r="AG247" s="2528"/>
      <c r="AH247" s="2528"/>
      <c r="AI247" s="2527"/>
      <c r="AJ247" s="2528"/>
      <c r="AK247" s="2528"/>
      <c r="AL247" s="1993"/>
      <c r="AM247" s="1830"/>
      <c r="AN247" s="1830"/>
      <c r="AO247" s="1830"/>
      <c r="AP247" s="1830"/>
      <c r="AQ247" s="1830"/>
      <c r="AR247" s="1830"/>
      <c r="AS247" s="1830"/>
      <c r="AT247" s="1830"/>
      <c r="AU247" s="1830"/>
      <c r="AV247" s="1830"/>
      <c r="AW247" s="1830"/>
      <c r="AX247" s="1830"/>
      <c r="AY247" s="1830"/>
      <c r="AZ247" s="1830"/>
      <c r="BA247" s="1830"/>
      <c r="BB247" s="1830"/>
      <c r="BC247" s="1830"/>
      <c r="BD247" s="1830"/>
      <c r="BE247" s="1830"/>
      <c r="BF247" s="1830"/>
      <c r="BG247" s="1643"/>
    </row>
    <row customHeight="1" ht="11.25">
      <c r="A248" s="1174" t="s">
        <v>1040</v>
      </c>
      <c r="B248" s="1174" t="s">
        <v>1119</v>
      </c>
      <c r="C248" s="1174"/>
      <c r="D248" s="1168"/>
      <c r="E248" s="1178"/>
      <c r="F248" s="1836"/>
      <c r="G248" s="691" t="s">
        <v>103</v>
      </c>
      <c r="H248" s="2536" t="s">
        <v>1177</v>
      </c>
      <c r="I248" s="2537" t="s">
        <v>1121</v>
      </c>
      <c r="J248" s="2506" t="s">
        <v>1125</v>
      </c>
      <c r="K248" s="2538" t="s">
        <v>1178</v>
      </c>
      <c r="L248" s="2128" t="s">
        <v>19</v>
      </c>
      <c r="M248" s="2129"/>
      <c r="N248" s="1991"/>
      <c r="O248" s="1185" t="s">
        <v>393</v>
      </c>
      <c r="P248" s="1186"/>
      <c r="Q248" s="1186"/>
      <c r="R248" s="1186"/>
      <c r="S248" s="1186"/>
      <c r="T248" s="1186"/>
      <c r="U248" s="1186"/>
      <c r="V248" s="1186"/>
      <c r="W248" s="1186"/>
      <c r="X248" s="1186"/>
      <c r="Y248" s="1186"/>
      <c r="Z248" s="1186"/>
      <c r="AA248" s="1186"/>
      <c r="AB248" s="1186"/>
      <c r="AC248" s="1186"/>
      <c r="AD248" s="1186"/>
      <c r="AE248" s="1186"/>
      <c r="AF248" s="2527">
        <v>1</v>
      </c>
      <c r="AG248" s="2528" t="s">
        <v>1076</v>
      </c>
      <c r="AH248" s="2528" t="s">
        <v>1091</v>
      </c>
      <c r="AI248" s="2734"/>
      <c r="AJ248" s="2528" t="s">
        <v>1132</v>
      </c>
      <c r="AK248" s="2528" t="s">
        <v>1132</v>
      </c>
      <c r="AL248" s="1993"/>
      <c r="AM248" s="1830"/>
      <c r="AN248" s="1830"/>
      <c r="AO248" s="1830"/>
      <c r="AP248" s="1830"/>
      <c r="AQ248" s="1830"/>
      <c r="AR248" s="1830"/>
      <c r="AS248" s="1830"/>
      <c r="AT248" s="1830"/>
      <c r="AU248" s="1830"/>
      <c r="AV248" s="1830"/>
      <c r="AW248" s="1830"/>
      <c r="AX248" s="1830"/>
      <c r="AY248" s="1830"/>
      <c r="AZ248" s="1830"/>
      <c r="BA248" s="1830"/>
      <c r="BB248" s="1830"/>
      <c r="BC248" s="1830"/>
      <c r="BD248" s="1830"/>
      <c r="BE248" s="1830"/>
      <c r="BF248" s="1830"/>
      <c r="BG248" s="1643"/>
    </row>
    <row customHeight="1" ht="11.25">
      <c r="A249" s="1174" t="s">
        <v>1040</v>
      </c>
      <c r="B249" s="1174"/>
      <c r="C249" s="1174"/>
      <c r="D249" s="1168"/>
      <c r="E249" s="1178"/>
      <c r="F249" s="1836"/>
      <c r="G249" s="1837"/>
      <c r="H249" s="2536" t="s">
        <v>1175</v>
      </c>
      <c r="I249" s="2537"/>
      <c r="J249" s="2506"/>
      <c r="K249" s="2538"/>
      <c r="L249" s="2128"/>
      <c r="M249" s="2129"/>
      <c r="N249" s="2529"/>
      <c r="O249" s="2530">
        <v>1</v>
      </c>
      <c r="P249" s="2531" t="s">
        <v>61</v>
      </c>
      <c r="Q249" s="2735" t="s">
        <v>1079</v>
      </c>
      <c r="R249" s="2736" t="s">
        <v>1080</v>
      </c>
      <c r="S249" s="2736" t="s">
        <v>99</v>
      </c>
      <c r="T249" s="2736" t="s">
        <v>99</v>
      </c>
      <c r="U249" s="2736" t="s">
        <v>100</v>
      </c>
      <c r="V249" s="2736" t="s">
        <v>1081</v>
      </c>
      <c r="W249" s="2736" t="s">
        <v>1082</v>
      </c>
      <c r="X249" s="2736" t="s">
        <v>1083</v>
      </c>
      <c r="Y249" s="2736" t="s">
        <v>1084</v>
      </c>
      <c r="Z249" s="1183"/>
      <c r="AA249" s="1184"/>
      <c r="AB249" s="1184"/>
      <c r="AC249" s="1188"/>
      <c r="AD249" s="1188"/>
      <c r="AE249" s="1189"/>
      <c r="AF249" s="2527"/>
      <c r="AG249" s="2528"/>
      <c r="AH249" s="2528"/>
      <c r="AI249" s="2734"/>
      <c r="AJ249" s="2528"/>
      <c r="AK249" s="2528"/>
      <c r="AL249" s="1993"/>
      <c r="AM249" s="1830"/>
      <c r="AN249" s="1830"/>
      <c r="AO249" s="1830"/>
      <c r="AP249" s="1830"/>
      <c r="AQ249" s="1830"/>
      <c r="AR249" s="1830"/>
      <c r="AS249" s="1830"/>
      <c r="AT249" s="1830"/>
      <c r="AU249" s="1830"/>
      <c r="AV249" s="1830"/>
      <c r="AW249" s="1830"/>
      <c r="AX249" s="1830"/>
      <c r="AY249" s="1830"/>
      <c r="AZ249" s="1830"/>
      <c r="BA249" s="1830"/>
      <c r="BB249" s="1830"/>
      <c r="BC249" s="1830"/>
      <c r="BD249" s="1830"/>
      <c r="BE249" s="1830"/>
      <c r="BF249" s="1830"/>
      <c r="BG249" s="1643"/>
    </row>
    <row customHeight="1" ht="11.25">
      <c r="A250" s="1174" t="s">
        <v>1040</v>
      </c>
      <c r="B250" s="1174"/>
      <c r="C250" s="1174"/>
      <c r="D250" s="1168"/>
      <c r="E250" s="1178"/>
      <c r="F250" s="1836"/>
      <c r="G250" s="1837"/>
      <c r="H250" s="2536" t="s">
        <v>1175</v>
      </c>
      <c r="I250" s="2537"/>
      <c r="J250" s="2506"/>
      <c r="K250" s="2538"/>
      <c r="L250" s="2128"/>
      <c r="M250" s="2129"/>
      <c r="N250" s="2529"/>
      <c r="O250" s="2530"/>
      <c r="P250" s="2532"/>
      <c r="Q250" s="2735"/>
      <c r="R250" s="2534"/>
      <c r="S250" s="2535"/>
      <c r="T250" s="2534"/>
      <c r="U250" s="2534"/>
      <c r="V250" s="2534"/>
      <c r="W250" s="2534"/>
      <c r="X250" s="2534"/>
      <c r="Y250" s="2534"/>
      <c r="Z250" s="1835"/>
      <c r="AA250" s="1801">
        <v>1</v>
      </c>
      <c r="AB250" s="1187" t="s">
        <v>1114</v>
      </c>
      <c r="AC250" s="1177">
        <v>8351.45</v>
      </c>
      <c r="AD250" s="1187" t="str">
        <f>AB250</f>
        <v>  За счет платы за технологическое присоединение</v>
      </c>
      <c r="AE250" s="1177">
        <v>0</v>
      </c>
      <c r="AF250" s="2527"/>
      <c r="AG250" s="2528"/>
      <c r="AH250" s="2528"/>
      <c r="AI250" s="2734"/>
      <c r="AJ250" s="2528"/>
      <c r="AK250" s="2528"/>
      <c r="AL250" s="1993"/>
      <c r="AM250" s="1830"/>
      <c r="AN250" s="1830"/>
      <c r="AO250" s="1830"/>
      <c r="AP250" s="1830"/>
      <c r="AQ250" s="1830"/>
      <c r="AR250" s="1830"/>
      <c r="AS250" s="1830"/>
      <c r="AT250" s="1830"/>
      <c r="AU250" s="1830"/>
      <c r="AV250" s="1830"/>
      <c r="AW250" s="1830"/>
      <c r="AX250" s="1830"/>
      <c r="AY250" s="1830"/>
      <c r="AZ250" s="1830"/>
      <c r="BA250" s="1830"/>
      <c r="BB250" s="1830"/>
      <c r="BC250" s="1830"/>
      <c r="BD250" s="1830"/>
      <c r="BE250" s="1830"/>
      <c r="BF250" s="1830"/>
      <c r="BG250" s="1643"/>
    </row>
    <row customHeight="1" ht="11.25">
      <c r="A251" s="1174" t="s">
        <v>1040</v>
      </c>
      <c r="B251" s="1174"/>
      <c r="C251" s="1174"/>
      <c r="D251" s="1168"/>
      <c r="E251" s="1178"/>
      <c r="F251" s="1837"/>
      <c r="G251" s="1837"/>
      <c r="H251" s="1837"/>
      <c r="I251" s="1837"/>
      <c r="J251" s="1837"/>
      <c r="K251" s="1837"/>
      <c r="L251" s="1837"/>
      <c r="M251" s="1837"/>
      <c r="N251" s="1837"/>
      <c r="O251" s="1837"/>
      <c r="P251" s="1837"/>
      <c r="Q251" s="1837"/>
      <c r="R251" s="1837"/>
      <c r="S251" s="1837"/>
      <c r="T251" s="1837"/>
      <c r="U251" s="1837"/>
      <c r="V251" s="1837"/>
      <c r="W251" s="1837"/>
      <c r="X251" s="1837"/>
      <c r="Y251" s="1837"/>
      <c r="Z251" s="691" t="s">
        <v>103</v>
      </c>
      <c r="AA251" s="1821" t="s">
        <v>102</v>
      </c>
      <c r="AB251" s="1187" t="s">
        <v>1085</v>
      </c>
      <c r="AC251" s="1177">
        <v>1670.29</v>
      </c>
      <c r="AD251" s="1187" t="str">
        <f>AB251</f>
        <v>  Прочие собственные средства</v>
      </c>
      <c r="AE251" s="1177">
        <v>0</v>
      </c>
      <c r="AF251" s="2094"/>
      <c r="AG251" s="1766"/>
      <c r="AH251" s="1766"/>
      <c r="AI251" s="2740"/>
      <c r="AJ251" s="1766"/>
      <c r="AK251" s="1992"/>
      <c r="AL251" s="1993"/>
      <c r="AM251" s="1830"/>
      <c r="AN251" s="1830"/>
      <c r="AO251" s="1830"/>
      <c r="AP251" s="1830"/>
      <c r="AQ251" s="1830"/>
      <c r="AR251" s="1830"/>
      <c r="AS251" s="1830"/>
      <c r="AT251" s="1830"/>
      <c r="AU251" s="1830"/>
      <c r="AV251" s="1830"/>
      <c r="AW251" s="1830"/>
      <c r="AX251" s="1830"/>
      <c r="AY251" s="1830"/>
      <c r="AZ251" s="1830"/>
      <c r="BA251" s="1830"/>
      <c r="BB251" s="1830"/>
      <c r="BC251" s="1830"/>
      <c r="BD251" s="1830"/>
      <c r="BE251" s="1830"/>
      <c r="BF251" s="1830"/>
      <c r="BG251" s="1643"/>
    </row>
    <row customHeight="1" ht="11.25">
      <c r="A252" s="1174" t="s">
        <v>1040</v>
      </c>
      <c r="B252" s="1174"/>
      <c r="C252" s="1174"/>
      <c r="D252" s="1168"/>
      <c r="E252" s="1178"/>
      <c r="F252" s="1836"/>
      <c r="G252" s="1837"/>
      <c r="H252" s="2536" t="s">
        <v>1175</v>
      </c>
      <c r="I252" s="2537"/>
      <c r="J252" s="2506"/>
      <c r="K252" s="2538"/>
      <c r="L252" s="2128"/>
      <c r="M252" s="2129"/>
      <c r="N252" s="2529"/>
      <c r="O252" s="2530"/>
      <c r="P252" s="2533"/>
      <c r="Q252" s="2735"/>
      <c r="R252" s="2534"/>
      <c r="S252" s="2535"/>
      <c r="T252" s="2534"/>
      <c r="U252" s="2534"/>
      <c r="V252" s="2534"/>
      <c r="W252" s="2534"/>
      <c r="X252" s="2534"/>
      <c r="Y252" s="2534"/>
      <c r="Z252" s="1183"/>
      <c r="AA252" s="1184"/>
      <c r="AB252" s="1249" t="s">
        <v>1086</v>
      </c>
      <c r="AC252" s="1188"/>
      <c r="AD252" s="1188"/>
      <c r="AE252" s="1190"/>
      <c r="AF252" s="2527"/>
      <c r="AG252" s="2528"/>
      <c r="AH252" s="2528"/>
      <c r="AI252" s="2734"/>
      <c r="AJ252" s="2528"/>
      <c r="AK252" s="2528"/>
      <c r="AL252" s="1993"/>
      <c r="AM252" s="1830"/>
      <c r="AN252" s="1830"/>
      <c r="AO252" s="1830"/>
      <c r="AP252" s="1830"/>
      <c r="AQ252" s="1830"/>
      <c r="AR252" s="1830"/>
      <c r="AS252" s="1830"/>
      <c r="AT252" s="1830"/>
      <c r="AU252" s="1830"/>
      <c r="AV252" s="1830"/>
      <c r="AW252" s="1830"/>
      <c r="AX252" s="1830"/>
      <c r="AY252" s="1830"/>
      <c r="AZ252" s="1830"/>
      <c r="BA252" s="1830"/>
      <c r="BB252" s="1830"/>
      <c r="BC252" s="1830"/>
      <c r="BD252" s="1830"/>
      <c r="BE252" s="1830"/>
      <c r="BF252" s="1830"/>
      <c r="BG252" s="1643"/>
    </row>
    <row customHeight="1" ht="11.25">
      <c r="A253" s="1174" t="s">
        <v>1040</v>
      </c>
      <c r="B253" s="1174"/>
      <c r="C253" s="1174"/>
      <c r="D253" s="1168"/>
      <c r="E253" s="1178"/>
      <c r="F253" s="1836"/>
      <c r="G253" s="1837"/>
      <c r="H253" s="2536" t="s">
        <v>1175</v>
      </c>
      <c r="I253" s="2537"/>
      <c r="J253" s="2506"/>
      <c r="K253" s="2538"/>
      <c r="L253" s="2128"/>
      <c r="M253" s="2129"/>
      <c r="N253" s="1183"/>
      <c r="O253" s="1184"/>
      <c r="P253" s="1176" t="s">
        <v>1087</v>
      </c>
      <c r="Q253" s="1184"/>
      <c r="R253" s="1184"/>
      <c r="S253" s="1184"/>
      <c r="T253" s="1184"/>
      <c r="U253" s="1184"/>
      <c r="V253" s="1184"/>
      <c r="W253" s="1184"/>
      <c r="X253" s="1184"/>
      <c r="Y253" s="1184"/>
      <c r="Z253" s="1184"/>
      <c r="AA253" s="1184"/>
      <c r="AB253" s="1184"/>
      <c r="AC253" s="1184"/>
      <c r="AD253" s="1184"/>
      <c r="AE253" s="1191"/>
      <c r="AF253" s="2527"/>
      <c r="AG253" s="2528"/>
      <c r="AH253" s="2528"/>
      <c r="AI253" s="2734"/>
      <c r="AJ253" s="2528"/>
      <c r="AK253" s="2528"/>
      <c r="AL253" s="1993"/>
      <c r="AM253" s="1830"/>
      <c r="AN253" s="1830"/>
      <c r="AO253" s="1830"/>
      <c r="AP253" s="1830"/>
      <c r="AQ253" s="1830"/>
      <c r="AR253" s="1830"/>
      <c r="AS253" s="1830"/>
      <c r="AT253" s="1830"/>
      <c r="AU253" s="1830"/>
      <c r="AV253" s="1830"/>
      <c r="AW253" s="1830"/>
      <c r="AX253" s="1830"/>
      <c r="AY253" s="1830"/>
      <c r="AZ253" s="1830"/>
      <c r="BA253" s="1830"/>
      <c r="BB253" s="1830"/>
      <c r="BC253" s="1830"/>
      <c r="BD253" s="1830"/>
      <c r="BE253" s="1830"/>
      <c r="BF253" s="1830"/>
      <c r="BG253" s="1643"/>
    </row>
    <row customHeight="1" ht="11.25">
      <c r="A254" s="1174" t="s">
        <v>1040</v>
      </c>
      <c r="B254" s="1174" t="s">
        <v>1119</v>
      </c>
      <c r="C254" s="1174"/>
      <c r="D254" s="1168"/>
      <c r="E254" s="1178"/>
      <c r="F254" s="1836"/>
      <c r="G254" s="691" t="s">
        <v>103</v>
      </c>
      <c r="H254" s="2536" t="s">
        <v>1179</v>
      </c>
      <c r="I254" s="2537" t="s">
        <v>1121</v>
      </c>
      <c r="J254" s="2506" t="s">
        <v>1125</v>
      </c>
      <c r="K254" s="2538" t="s">
        <v>1180</v>
      </c>
      <c r="L254" s="2128" t="s">
        <v>19</v>
      </c>
      <c r="M254" s="2129"/>
      <c r="N254" s="1991"/>
      <c r="O254" s="1185" t="s">
        <v>393</v>
      </c>
      <c r="P254" s="1186"/>
      <c r="Q254" s="1186"/>
      <c r="R254" s="1186"/>
      <c r="S254" s="1186"/>
      <c r="T254" s="1186"/>
      <c r="U254" s="1186"/>
      <c r="V254" s="1186"/>
      <c r="W254" s="1186"/>
      <c r="X254" s="1186"/>
      <c r="Y254" s="1186"/>
      <c r="Z254" s="1186"/>
      <c r="AA254" s="1186"/>
      <c r="AB254" s="1186"/>
      <c r="AC254" s="1186"/>
      <c r="AD254" s="1186"/>
      <c r="AE254" s="1186"/>
      <c r="AF254" s="2527">
        <v>1</v>
      </c>
      <c r="AG254" s="2528" t="s">
        <v>1076</v>
      </c>
      <c r="AH254" s="2528" t="s">
        <v>1091</v>
      </c>
      <c r="AI254" s="2734"/>
      <c r="AJ254" s="2528" t="s">
        <v>1132</v>
      </c>
      <c r="AK254" s="2528" t="s">
        <v>1132</v>
      </c>
      <c r="AL254" s="1993"/>
      <c r="AM254" s="1830"/>
      <c r="AN254" s="1830"/>
      <c r="AO254" s="1830"/>
      <c r="AP254" s="1830"/>
      <c r="AQ254" s="1830"/>
      <c r="AR254" s="1830"/>
      <c r="AS254" s="1830"/>
      <c r="AT254" s="1830"/>
      <c r="AU254" s="1830"/>
      <c r="AV254" s="1830"/>
      <c r="AW254" s="1830"/>
      <c r="AX254" s="1830"/>
      <c r="AY254" s="1830"/>
      <c r="AZ254" s="1830"/>
      <c r="BA254" s="1830"/>
      <c r="BB254" s="1830"/>
      <c r="BC254" s="1830"/>
      <c r="BD254" s="1830"/>
      <c r="BE254" s="1830"/>
      <c r="BF254" s="1830"/>
      <c r="BG254" s="1643"/>
    </row>
    <row customHeight="1" ht="11.25">
      <c r="A255" s="1174" t="s">
        <v>1040</v>
      </c>
      <c r="B255" s="1174"/>
      <c r="C255" s="1174"/>
      <c r="D255" s="1168"/>
      <c r="E255" s="1178"/>
      <c r="F255" s="1836"/>
      <c r="G255" s="1837"/>
      <c r="H255" s="2536" t="s">
        <v>1177</v>
      </c>
      <c r="I255" s="2537"/>
      <c r="J255" s="2506"/>
      <c r="K255" s="2538"/>
      <c r="L255" s="2128"/>
      <c r="M255" s="2129"/>
      <c r="N255" s="2529"/>
      <c r="O255" s="2530">
        <v>1</v>
      </c>
      <c r="P255" s="2531" t="s">
        <v>61</v>
      </c>
      <c r="Q255" s="2735" t="s">
        <v>1079</v>
      </c>
      <c r="R255" s="2736" t="s">
        <v>1080</v>
      </c>
      <c r="S255" s="2736" t="s">
        <v>99</v>
      </c>
      <c r="T255" s="2736" t="s">
        <v>99</v>
      </c>
      <c r="U255" s="2736" t="s">
        <v>100</v>
      </c>
      <c r="V255" s="2736" t="s">
        <v>1081</v>
      </c>
      <c r="W255" s="2736" t="s">
        <v>1082</v>
      </c>
      <c r="X255" s="2736" t="s">
        <v>1083</v>
      </c>
      <c r="Y255" s="2736" t="s">
        <v>1084</v>
      </c>
      <c r="Z255" s="1183"/>
      <c r="AA255" s="1184"/>
      <c r="AB255" s="1184"/>
      <c r="AC255" s="1188"/>
      <c r="AD255" s="1188"/>
      <c r="AE255" s="1189"/>
      <c r="AF255" s="2527"/>
      <c r="AG255" s="2528"/>
      <c r="AH255" s="2528"/>
      <c r="AI255" s="2734"/>
      <c r="AJ255" s="2528"/>
      <c r="AK255" s="2528"/>
      <c r="AL255" s="1993"/>
      <c r="AM255" s="1830"/>
      <c r="AN255" s="1830"/>
      <c r="AO255" s="1830"/>
      <c r="AP255" s="1830"/>
      <c r="AQ255" s="1830"/>
      <c r="AR255" s="1830"/>
      <c r="AS255" s="1830"/>
      <c r="AT255" s="1830"/>
      <c r="AU255" s="1830"/>
      <c r="AV255" s="1830"/>
      <c r="AW255" s="1830"/>
      <c r="AX255" s="1830"/>
      <c r="AY255" s="1830"/>
      <c r="AZ255" s="1830"/>
      <c r="BA255" s="1830"/>
      <c r="BB255" s="1830"/>
      <c r="BC255" s="1830"/>
      <c r="BD255" s="1830"/>
      <c r="BE255" s="1830"/>
      <c r="BF255" s="1830"/>
      <c r="BG255" s="1643"/>
    </row>
    <row customHeight="1" ht="11.25">
      <c r="A256" s="1174" t="s">
        <v>1040</v>
      </c>
      <c r="B256" s="1174"/>
      <c r="C256" s="1174"/>
      <c r="D256" s="1168"/>
      <c r="E256" s="1178"/>
      <c r="F256" s="1836"/>
      <c r="G256" s="1837"/>
      <c r="H256" s="2536" t="s">
        <v>1177</v>
      </c>
      <c r="I256" s="2537"/>
      <c r="J256" s="2506"/>
      <c r="K256" s="2538"/>
      <c r="L256" s="2128"/>
      <c r="M256" s="2129"/>
      <c r="N256" s="2529"/>
      <c r="O256" s="2530"/>
      <c r="P256" s="2532"/>
      <c r="Q256" s="2735"/>
      <c r="R256" s="2534"/>
      <c r="S256" s="2535"/>
      <c r="T256" s="2534"/>
      <c r="U256" s="2534"/>
      <c r="V256" s="2534"/>
      <c r="W256" s="2534"/>
      <c r="X256" s="2534"/>
      <c r="Y256" s="2534"/>
      <c r="Z256" s="1835"/>
      <c r="AA256" s="1801">
        <v>1</v>
      </c>
      <c r="AB256" s="1187" t="s">
        <v>1114</v>
      </c>
      <c r="AC256" s="1177">
        <v>7076.82</v>
      </c>
      <c r="AD256" s="1187" t="str">
        <f>AB256</f>
        <v>  За счет платы за технологическое присоединение</v>
      </c>
      <c r="AE256" s="1177">
        <v>0</v>
      </c>
      <c r="AF256" s="2527"/>
      <c r="AG256" s="2528"/>
      <c r="AH256" s="2528"/>
      <c r="AI256" s="2734"/>
      <c r="AJ256" s="2528"/>
      <c r="AK256" s="2528"/>
      <c r="AL256" s="1993"/>
      <c r="AM256" s="1830"/>
      <c r="AN256" s="1830"/>
      <c r="AO256" s="1830"/>
      <c r="AP256" s="1830"/>
      <c r="AQ256" s="1830"/>
      <c r="AR256" s="1830"/>
      <c r="AS256" s="1830"/>
      <c r="AT256" s="1830"/>
      <c r="AU256" s="1830"/>
      <c r="AV256" s="1830"/>
      <c r="AW256" s="1830"/>
      <c r="AX256" s="1830"/>
      <c r="AY256" s="1830"/>
      <c r="AZ256" s="1830"/>
      <c r="BA256" s="1830"/>
      <c r="BB256" s="1830"/>
      <c r="BC256" s="1830"/>
      <c r="BD256" s="1830"/>
      <c r="BE256" s="1830"/>
      <c r="BF256" s="1830"/>
      <c r="BG256" s="1643"/>
    </row>
    <row customHeight="1" ht="11.25">
      <c r="A257" s="1174" t="s">
        <v>1040</v>
      </c>
      <c r="B257" s="1174"/>
      <c r="C257" s="1174"/>
      <c r="D257" s="1168"/>
      <c r="E257" s="1178"/>
      <c r="F257" s="1837"/>
      <c r="G257" s="1837"/>
      <c r="H257" s="1837"/>
      <c r="I257" s="1837"/>
      <c r="J257" s="1837"/>
      <c r="K257" s="1837"/>
      <c r="L257" s="1837"/>
      <c r="M257" s="1837"/>
      <c r="N257" s="1837"/>
      <c r="O257" s="1837"/>
      <c r="P257" s="1837"/>
      <c r="Q257" s="1837"/>
      <c r="R257" s="1837"/>
      <c r="S257" s="1837"/>
      <c r="T257" s="1837"/>
      <c r="U257" s="1837"/>
      <c r="V257" s="1837"/>
      <c r="W257" s="1837"/>
      <c r="X257" s="1837"/>
      <c r="Y257" s="1837"/>
      <c r="Z257" s="691" t="s">
        <v>103</v>
      </c>
      <c r="AA257" s="1821" t="s">
        <v>102</v>
      </c>
      <c r="AB257" s="1187" t="s">
        <v>1085</v>
      </c>
      <c r="AC257" s="1177">
        <v>1415.36</v>
      </c>
      <c r="AD257" s="1187" t="str">
        <f>AB257</f>
        <v>  Прочие собственные средства</v>
      </c>
      <c r="AE257" s="1177">
        <v>0</v>
      </c>
      <c r="AF257" s="2094"/>
      <c r="AG257" s="1766"/>
      <c r="AH257" s="1766"/>
      <c r="AI257" s="2740"/>
      <c r="AJ257" s="1766"/>
      <c r="AK257" s="1992"/>
      <c r="AL257" s="1993"/>
      <c r="AM257" s="1830"/>
      <c r="AN257" s="1830"/>
      <c r="AO257" s="1830"/>
      <c r="AP257" s="1830"/>
      <c r="AQ257" s="1830"/>
      <c r="AR257" s="1830"/>
      <c r="AS257" s="1830"/>
      <c r="AT257" s="1830"/>
      <c r="AU257" s="1830"/>
      <c r="AV257" s="1830"/>
      <c r="AW257" s="1830"/>
      <c r="AX257" s="1830"/>
      <c r="AY257" s="1830"/>
      <c r="AZ257" s="1830"/>
      <c r="BA257" s="1830"/>
      <c r="BB257" s="1830"/>
      <c r="BC257" s="1830"/>
      <c r="BD257" s="1830"/>
      <c r="BE257" s="1830"/>
      <c r="BF257" s="1830"/>
      <c r="BG257" s="1643"/>
    </row>
    <row customHeight="1" ht="11.25">
      <c r="A258" s="1174" t="s">
        <v>1040</v>
      </c>
      <c r="B258" s="1174"/>
      <c r="C258" s="1174"/>
      <c r="D258" s="1168"/>
      <c r="E258" s="1178"/>
      <c r="F258" s="1836"/>
      <c r="G258" s="1837"/>
      <c r="H258" s="2536" t="s">
        <v>1177</v>
      </c>
      <c r="I258" s="2537"/>
      <c r="J258" s="2506"/>
      <c r="K258" s="2538"/>
      <c r="L258" s="2128"/>
      <c r="M258" s="2129"/>
      <c r="N258" s="2529"/>
      <c r="O258" s="2530"/>
      <c r="P258" s="2533"/>
      <c r="Q258" s="2735"/>
      <c r="R258" s="2534"/>
      <c r="S258" s="2535"/>
      <c r="T258" s="2534"/>
      <c r="U258" s="2534"/>
      <c r="V258" s="2534"/>
      <c r="W258" s="2534"/>
      <c r="X258" s="2534"/>
      <c r="Y258" s="2534"/>
      <c r="Z258" s="1183"/>
      <c r="AA258" s="1184"/>
      <c r="AB258" s="1249" t="s">
        <v>1086</v>
      </c>
      <c r="AC258" s="1188"/>
      <c r="AD258" s="1188"/>
      <c r="AE258" s="1190"/>
      <c r="AF258" s="2527"/>
      <c r="AG258" s="2528"/>
      <c r="AH258" s="2528"/>
      <c r="AI258" s="2734"/>
      <c r="AJ258" s="2528"/>
      <c r="AK258" s="2528"/>
      <c r="AL258" s="1993"/>
      <c r="AM258" s="1830"/>
      <c r="AN258" s="1830"/>
      <c r="AO258" s="1830"/>
      <c r="AP258" s="1830"/>
      <c r="AQ258" s="1830"/>
      <c r="AR258" s="1830"/>
      <c r="AS258" s="1830"/>
      <c r="AT258" s="1830"/>
      <c r="AU258" s="1830"/>
      <c r="AV258" s="1830"/>
      <c r="AW258" s="1830"/>
      <c r="AX258" s="1830"/>
      <c r="AY258" s="1830"/>
      <c r="AZ258" s="1830"/>
      <c r="BA258" s="1830"/>
      <c r="BB258" s="1830"/>
      <c r="BC258" s="1830"/>
      <c r="BD258" s="1830"/>
      <c r="BE258" s="1830"/>
      <c r="BF258" s="1830"/>
      <c r="BG258" s="1643"/>
    </row>
    <row customHeight="1" ht="11.25">
      <c r="A259" s="1174" t="s">
        <v>1040</v>
      </c>
      <c r="B259" s="1174"/>
      <c r="C259" s="1174"/>
      <c r="D259" s="1168"/>
      <c r="E259" s="1178"/>
      <c r="F259" s="1836"/>
      <c r="G259" s="1837"/>
      <c r="H259" s="2536" t="s">
        <v>1177</v>
      </c>
      <c r="I259" s="2537"/>
      <c r="J259" s="2506"/>
      <c r="K259" s="2538"/>
      <c r="L259" s="2128"/>
      <c r="M259" s="2129"/>
      <c r="N259" s="1183"/>
      <c r="O259" s="1184"/>
      <c r="P259" s="1176" t="s">
        <v>1087</v>
      </c>
      <c r="Q259" s="1184"/>
      <c r="R259" s="1184"/>
      <c r="S259" s="1184"/>
      <c r="T259" s="1184"/>
      <c r="U259" s="1184"/>
      <c r="V259" s="1184"/>
      <c r="W259" s="1184"/>
      <c r="X259" s="1184"/>
      <c r="Y259" s="1184"/>
      <c r="Z259" s="1184"/>
      <c r="AA259" s="1184"/>
      <c r="AB259" s="1184"/>
      <c r="AC259" s="1184"/>
      <c r="AD259" s="1184"/>
      <c r="AE259" s="1191"/>
      <c r="AF259" s="2527"/>
      <c r="AG259" s="2528"/>
      <c r="AH259" s="2528"/>
      <c r="AI259" s="2734"/>
      <c r="AJ259" s="2528"/>
      <c r="AK259" s="2528"/>
      <c r="AL259" s="1993"/>
      <c r="AM259" s="1830"/>
      <c r="AN259" s="1830"/>
      <c r="AO259" s="1830"/>
      <c r="AP259" s="1830"/>
      <c r="AQ259" s="1830"/>
      <c r="AR259" s="1830"/>
      <c r="AS259" s="1830"/>
      <c r="AT259" s="1830"/>
      <c r="AU259" s="1830"/>
      <c r="AV259" s="1830"/>
      <c r="AW259" s="1830"/>
      <c r="AX259" s="1830"/>
      <c r="AY259" s="1830"/>
      <c r="AZ259" s="1830"/>
      <c r="BA259" s="1830"/>
      <c r="BB259" s="1830"/>
      <c r="BC259" s="1830"/>
      <c r="BD259" s="1830"/>
      <c r="BE259" s="1830"/>
      <c r="BF259" s="1830"/>
      <c r="BG259" s="1643"/>
    </row>
    <row customHeight="1" ht="11.25">
      <c r="A260" s="1174" t="s">
        <v>1040</v>
      </c>
      <c r="B260" s="1174" t="s">
        <v>1119</v>
      </c>
      <c r="C260" s="1174"/>
      <c r="D260" s="1168"/>
      <c r="E260" s="1178"/>
      <c r="F260" s="1836"/>
      <c r="G260" s="691" t="s">
        <v>103</v>
      </c>
      <c r="H260" s="2536" t="s">
        <v>1181</v>
      </c>
      <c r="I260" s="2537" t="s">
        <v>1121</v>
      </c>
      <c r="J260" s="2506" t="s">
        <v>1125</v>
      </c>
      <c r="K260" s="2538" t="s">
        <v>1182</v>
      </c>
      <c r="L260" s="2128" t="s">
        <v>19</v>
      </c>
      <c r="M260" s="2129"/>
      <c r="N260" s="1991"/>
      <c r="O260" s="1185" t="s">
        <v>393</v>
      </c>
      <c r="P260" s="1186"/>
      <c r="Q260" s="1186"/>
      <c r="R260" s="1186"/>
      <c r="S260" s="1186"/>
      <c r="T260" s="1186"/>
      <c r="U260" s="1186"/>
      <c r="V260" s="1186"/>
      <c r="W260" s="1186"/>
      <c r="X260" s="1186"/>
      <c r="Y260" s="1186"/>
      <c r="Z260" s="1186"/>
      <c r="AA260" s="1186"/>
      <c r="AB260" s="1186"/>
      <c r="AC260" s="1186"/>
      <c r="AD260" s="1186"/>
      <c r="AE260" s="1186"/>
      <c r="AF260" s="2527">
        <v>1</v>
      </c>
      <c r="AG260" s="2528" t="s">
        <v>1076</v>
      </c>
      <c r="AH260" s="2528" t="s">
        <v>1091</v>
      </c>
      <c r="AI260" s="2734"/>
      <c r="AJ260" s="2528" t="s">
        <v>1132</v>
      </c>
      <c r="AK260" s="2528" t="s">
        <v>1132</v>
      </c>
      <c r="AL260" s="1993"/>
      <c r="AM260" s="1830"/>
      <c r="AN260" s="1830"/>
      <c r="AO260" s="1830"/>
      <c r="AP260" s="1830"/>
      <c r="AQ260" s="1830"/>
      <c r="AR260" s="1830"/>
      <c r="AS260" s="1830"/>
      <c r="AT260" s="1830"/>
      <c r="AU260" s="1830"/>
      <c r="AV260" s="1830"/>
      <c r="AW260" s="1830"/>
      <c r="AX260" s="1830"/>
      <c r="AY260" s="1830"/>
      <c r="AZ260" s="1830"/>
      <c r="BA260" s="1830"/>
      <c r="BB260" s="1830"/>
      <c r="BC260" s="1830"/>
      <c r="BD260" s="1830"/>
      <c r="BE260" s="1830"/>
      <c r="BF260" s="1830"/>
      <c r="BG260" s="1643"/>
    </row>
    <row customHeight="1" ht="11.25">
      <c r="A261" s="1174" t="s">
        <v>1040</v>
      </c>
      <c r="B261" s="1174"/>
      <c r="C261" s="1174"/>
      <c r="D261" s="1168"/>
      <c r="E261" s="1178"/>
      <c r="F261" s="1836"/>
      <c r="G261" s="1837"/>
      <c r="H261" s="2536" t="s">
        <v>1179</v>
      </c>
      <c r="I261" s="2537"/>
      <c r="J261" s="2506"/>
      <c r="K261" s="2538"/>
      <c r="L261" s="2128"/>
      <c r="M261" s="2129"/>
      <c r="N261" s="2529"/>
      <c r="O261" s="2530">
        <v>1</v>
      </c>
      <c r="P261" s="2531" t="s">
        <v>61</v>
      </c>
      <c r="Q261" s="2735" t="s">
        <v>1079</v>
      </c>
      <c r="R261" s="2736" t="s">
        <v>1080</v>
      </c>
      <c r="S261" s="2736" t="s">
        <v>99</v>
      </c>
      <c r="T261" s="2736" t="s">
        <v>99</v>
      </c>
      <c r="U261" s="2736" t="s">
        <v>100</v>
      </c>
      <c r="V261" s="2736" t="s">
        <v>1081</v>
      </c>
      <c r="W261" s="2736" t="s">
        <v>1082</v>
      </c>
      <c r="X261" s="2736" t="s">
        <v>1083</v>
      </c>
      <c r="Y261" s="2736" t="s">
        <v>1084</v>
      </c>
      <c r="Z261" s="1183"/>
      <c r="AA261" s="1184"/>
      <c r="AB261" s="1184"/>
      <c r="AC261" s="1188"/>
      <c r="AD261" s="1188"/>
      <c r="AE261" s="1189"/>
      <c r="AF261" s="2527"/>
      <c r="AG261" s="2528"/>
      <c r="AH261" s="2528"/>
      <c r="AI261" s="2734"/>
      <c r="AJ261" s="2528"/>
      <c r="AK261" s="2528"/>
      <c r="AL261" s="1993"/>
      <c r="AM261" s="1830"/>
      <c r="AN261" s="1830"/>
      <c r="AO261" s="1830"/>
      <c r="AP261" s="1830"/>
      <c r="AQ261" s="1830"/>
      <c r="AR261" s="1830"/>
      <c r="AS261" s="1830"/>
      <c r="AT261" s="1830"/>
      <c r="AU261" s="1830"/>
      <c r="AV261" s="1830"/>
      <c r="AW261" s="1830"/>
      <c r="AX261" s="1830"/>
      <c r="AY261" s="1830"/>
      <c r="AZ261" s="1830"/>
      <c r="BA261" s="1830"/>
      <c r="BB261" s="1830"/>
      <c r="BC261" s="1830"/>
      <c r="BD261" s="1830"/>
      <c r="BE261" s="1830"/>
      <c r="BF261" s="1830"/>
      <c r="BG261" s="1643"/>
    </row>
    <row customHeight="1" ht="11.25">
      <c r="A262" s="1174" t="s">
        <v>1040</v>
      </c>
      <c r="B262" s="1174"/>
      <c r="C262" s="1174"/>
      <c r="D262" s="1168"/>
      <c r="E262" s="1178"/>
      <c r="F262" s="1836"/>
      <c r="G262" s="1837"/>
      <c r="H262" s="2536" t="s">
        <v>1179</v>
      </c>
      <c r="I262" s="2537"/>
      <c r="J262" s="2506"/>
      <c r="K262" s="2538"/>
      <c r="L262" s="2128"/>
      <c r="M262" s="2129"/>
      <c r="N262" s="2529"/>
      <c r="O262" s="2530"/>
      <c r="P262" s="2532"/>
      <c r="Q262" s="2735"/>
      <c r="R262" s="2534"/>
      <c r="S262" s="2535"/>
      <c r="T262" s="2534"/>
      <c r="U262" s="2534"/>
      <c r="V262" s="2534"/>
      <c r="W262" s="2534"/>
      <c r="X262" s="2534"/>
      <c r="Y262" s="2534"/>
      <c r="Z262" s="1835"/>
      <c r="AA262" s="1801">
        <v>1</v>
      </c>
      <c r="AB262" s="1187" t="s">
        <v>1114</v>
      </c>
      <c r="AC262" s="1177">
        <v>11374.48</v>
      </c>
      <c r="AD262" s="1187" t="str">
        <f>AB262</f>
        <v>  За счет платы за технологическое присоединение</v>
      </c>
      <c r="AE262" s="1177">
        <v>0</v>
      </c>
      <c r="AF262" s="2527"/>
      <c r="AG262" s="2528"/>
      <c r="AH262" s="2528"/>
      <c r="AI262" s="2734"/>
      <c r="AJ262" s="2528"/>
      <c r="AK262" s="2528"/>
      <c r="AL262" s="1993"/>
      <c r="AM262" s="1830"/>
      <c r="AN262" s="1830"/>
      <c r="AO262" s="1830"/>
      <c r="AP262" s="1830"/>
      <c r="AQ262" s="1830"/>
      <c r="AR262" s="1830"/>
      <c r="AS262" s="1830"/>
      <c r="AT262" s="1830"/>
      <c r="AU262" s="1830"/>
      <c r="AV262" s="1830"/>
      <c r="AW262" s="1830"/>
      <c r="AX262" s="1830"/>
      <c r="AY262" s="1830"/>
      <c r="AZ262" s="1830"/>
      <c r="BA262" s="1830"/>
      <c r="BB262" s="1830"/>
      <c r="BC262" s="1830"/>
      <c r="BD262" s="1830"/>
      <c r="BE262" s="1830"/>
      <c r="BF262" s="1830"/>
      <c r="BG262" s="1643"/>
    </row>
    <row customHeight="1" ht="11.25">
      <c r="A263" s="1174" t="s">
        <v>1040</v>
      </c>
      <c r="B263" s="1174"/>
      <c r="C263" s="1174"/>
      <c r="D263" s="1168"/>
      <c r="E263" s="1178"/>
      <c r="F263" s="1837"/>
      <c r="G263" s="1837"/>
      <c r="H263" s="1837"/>
      <c r="I263" s="1837"/>
      <c r="J263" s="1837"/>
      <c r="K263" s="1837"/>
      <c r="L263" s="1837"/>
      <c r="M263" s="1837"/>
      <c r="N263" s="1837"/>
      <c r="O263" s="1837"/>
      <c r="P263" s="1837"/>
      <c r="Q263" s="1837"/>
      <c r="R263" s="1837"/>
      <c r="S263" s="1837"/>
      <c r="T263" s="1837"/>
      <c r="U263" s="1837"/>
      <c r="V263" s="1837"/>
      <c r="W263" s="1837"/>
      <c r="X263" s="1837"/>
      <c r="Y263" s="1837"/>
      <c r="Z263" s="691" t="s">
        <v>103</v>
      </c>
      <c r="AA263" s="1821" t="s">
        <v>102</v>
      </c>
      <c r="AB263" s="1187" t="s">
        <v>1085</v>
      </c>
      <c r="AC263" s="1177">
        <v>2274.9</v>
      </c>
      <c r="AD263" s="1187" t="str">
        <f>AB263</f>
        <v>  Прочие собственные средства</v>
      </c>
      <c r="AE263" s="1177">
        <v>0</v>
      </c>
      <c r="AF263" s="2094"/>
      <c r="AG263" s="1766"/>
      <c r="AH263" s="1766"/>
      <c r="AI263" s="2740"/>
      <c r="AJ263" s="1766"/>
      <c r="AK263" s="1992"/>
      <c r="AL263" s="1993"/>
      <c r="AM263" s="1830"/>
      <c r="AN263" s="1830"/>
      <c r="AO263" s="1830"/>
      <c r="AP263" s="1830"/>
      <c r="AQ263" s="1830"/>
      <c r="AR263" s="1830"/>
      <c r="AS263" s="1830"/>
      <c r="AT263" s="1830"/>
      <c r="AU263" s="1830"/>
      <c r="AV263" s="1830"/>
      <c r="AW263" s="1830"/>
      <c r="AX263" s="1830"/>
      <c r="AY263" s="1830"/>
      <c r="AZ263" s="1830"/>
      <c r="BA263" s="1830"/>
      <c r="BB263" s="1830"/>
      <c r="BC263" s="1830"/>
      <c r="BD263" s="1830"/>
      <c r="BE263" s="1830"/>
      <c r="BF263" s="1830"/>
      <c r="BG263" s="1643"/>
    </row>
    <row customHeight="1" ht="11.25">
      <c r="A264" s="1174" t="s">
        <v>1040</v>
      </c>
      <c r="B264" s="1174"/>
      <c r="C264" s="1174"/>
      <c r="D264" s="1168"/>
      <c r="E264" s="1178"/>
      <c r="F264" s="1836"/>
      <c r="G264" s="1837"/>
      <c r="H264" s="2536" t="s">
        <v>1179</v>
      </c>
      <c r="I264" s="2537"/>
      <c r="J264" s="2506"/>
      <c r="K264" s="2538"/>
      <c r="L264" s="2128"/>
      <c r="M264" s="2129"/>
      <c r="N264" s="2529"/>
      <c r="O264" s="2530"/>
      <c r="P264" s="2533"/>
      <c r="Q264" s="2735"/>
      <c r="R264" s="2534"/>
      <c r="S264" s="2535"/>
      <c r="T264" s="2534"/>
      <c r="U264" s="2534"/>
      <c r="V264" s="2534"/>
      <c r="W264" s="2534"/>
      <c r="X264" s="2534"/>
      <c r="Y264" s="2534"/>
      <c r="Z264" s="1183"/>
      <c r="AA264" s="1184"/>
      <c r="AB264" s="1249" t="s">
        <v>1086</v>
      </c>
      <c r="AC264" s="1188"/>
      <c r="AD264" s="1188"/>
      <c r="AE264" s="1190"/>
      <c r="AF264" s="2527"/>
      <c r="AG264" s="2528"/>
      <c r="AH264" s="2528"/>
      <c r="AI264" s="2734"/>
      <c r="AJ264" s="2528"/>
      <c r="AK264" s="2528"/>
      <c r="AL264" s="1993"/>
      <c r="AM264" s="1830"/>
      <c r="AN264" s="1830"/>
      <c r="AO264" s="1830"/>
      <c r="AP264" s="1830"/>
      <c r="AQ264" s="1830"/>
      <c r="AR264" s="1830"/>
      <c r="AS264" s="1830"/>
      <c r="AT264" s="1830"/>
      <c r="AU264" s="1830"/>
      <c r="AV264" s="1830"/>
      <c r="AW264" s="1830"/>
      <c r="AX264" s="1830"/>
      <c r="AY264" s="1830"/>
      <c r="AZ264" s="1830"/>
      <c r="BA264" s="1830"/>
      <c r="BB264" s="1830"/>
      <c r="BC264" s="1830"/>
      <c r="BD264" s="1830"/>
      <c r="BE264" s="1830"/>
      <c r="BF264" s="1830"/>
      <c r="BG264" s="1643"/>
    </row>
    <row customHeight="1" ht="11.25">
      <c r="A265" s="1174" t="s">
        <v>1040</v>
      </c>
      <c r="B265" s="1174"/>
      <c r="C265" s="1174"/>
      <c r="D265" s="1168"/>
      <c r="E265" s="1178"/>
      <c r="F265" s="1836"/>
      <c r="G265" s="1837"/>
      <c r="H265" s="2536" t="s">
        <v>1179</v>
      </c>
      <c r="I265" s="2537"/>
      <c r="J265" s="2506"/>
      <c r="K265" s="2538"/>
      <c r="L265" s="2128"/>
      <c r="M265" s="2129"/>
      <c r="N265" s="1183"/>
      <c r="O265" s="1184"/>
      <c r="P265" s="1176" t="s">
        <v>1087</v>
      </c>
      <c r="Q265" s="1184"/>
      <c r="R265" s="1184"/>
      <c r="S265" s="1184"/>
      <c r="T265" s="1184"/>
      <c r="U265" s="1184"/>
      <c r="V265" s="1184"/>
      <c r="W265" s="1184"/>
      <c r="X265" s="1184"/>
      <c r="Y265" s="1184"/>
      <c r="Z265" s="1184"/>
      <c r="AA265" s="1184"/>
      <c r="AB265" s="1184"/>
      <c r="AC265" s="1184"/>
      <c r="AD265" s="1184"/>
      <c r="AE265" s="1191"/>
      <c r="AF265" s="2527"/>
      <c r="AG265" s="2528"/>
      <c r="AH265" s="2528"/>
      <c r="AI265" s="2734"/>
      <c r="AJ265" s="2528"/>
      <c r="AK265" s="2528"/>
      <c r="AL265" s="1993"/>
      <c r="AM265" s="1830"/>
      <c r="AN265" s="1830"/>
      <c r="AO265" s="1830"/>
      <c r="AP265" s="1830"/>
      <c r="AQ265" s="1830"/>
      <c r="AR265" s="1830"/>
      <c r="AS265" s="1830"/>
      <c r="AT265" s="1830"/>
      <c r="AU265" s="1830"/>
      <c r="AV265" s="1830"/>
      <c r="AW265" s="1830"/>
      <c r="AX265" s="1830"/>
      <c r="AY265" s="1830"/>
      <c r="AZ265" s="1830"/>
      <c r="BA265" s="1830"/>
      <c r="BB265" s="1830"/>
      <c r="BC265" s="1830"/>
      <c r="BD265" s="1830"/>
      <c r="BE265" s="1830"/>
      <c r="BF265" s="1830"/>
      <c r="BG265" s="1643"/>
    </row>
    <row customHeight="1" ht="11.25">
      <c r="A266" s="1174" t="s">
        <v>1040</v>
      </c>
      <c r="B266" s="1174" t="s">
        <v>1119</v>
      </c>
      <c r="C266" s="1174"/>
      <c r="D266" s="1168"/>
      <c r="E266" s="1178"/>
      <c r="F266" s="1836"/>
      <c r="G266" s="691" t="s">
        <v>103</v>
      </c>
      <c r="H266" s="2536" t="s">
        <v>1183</v>
      </c>
      <c r="I266" s="2537" t="s">
        <v>1121</v>
      </c>
      <c r="J266" s="2506" t="s">
        <v>1125</v>
      </c>
      <c r="K266" s="2538" t="s">
        <v>1184</v>
      </c>
      <c r="L266" s="2128" t="s">
        <v>19</v>
      </c>
      <c r="M266" s="2129"/>
      <c r="N266" s="1991"/>
      <c r="O266" s="1185" t="s">
        <v>393</v>
      </c>
      <c r="P266" s="1186"/>
      <c r="Q266" s="1186"/>
      <c r="R266" s="1186"/>
      <c r="S266" s="1186"/>
      <c r="T266" s="1186"/>
      <c r="U266" s="1186"/>
      <c r="V266" s="1186"/>
      <c r="W266" s="1186"/>
      <c r="X266" s="1186"/>
      <c r="Y266" s="1186"/>
      <c r="Z266" s="1186"/>
      <c r="AA266" s="1186"/>
      <c r="AB266" s="1186"/>
      <c r="AC266" s="1186"/>
      <c r="AD266" s="1186"/>
      <c r="AE266" s="1186"/>
      <c r="AF266" s="2527">
        <v>1</v>
      </c>
      <c r="AG266" s="2528" t="s">
        <v>1076</v>
      </c>
      <c r="AH266" s="2528" t="s">
        <v>1091</v>
      </c>
      <c r="AI266" s="2734"/>
      <c r="AJ266" s="2528" t="s">
        <v>1132</v>
      </c>
      <c r="AK266" s="2528" t="s">
        <v>1132</v>
      </c>
      <c r="AL266" s="1993"/>
      <c r="AM266" s="1830"/>
      <c r="AN266" s="1830"/>
      <c r="AO266" s="1830"/>
      <c r="AP266" s="1830"/>
      <c r="AQ266" s="1830"/>
      <c r="AR266" s="1830"/>
      <c r="AS266" s="1830"/>
      <c r="AT266" s="1830"/>
      <c r="AU266" s="1830"/>
      <c r="AV266" s="1830"/>
      <c r="AW266" s="1830"/>
      <c r="AX266" s="1830"/>
      <c r="AY266" s="1830"/>
      <c r="AZ266" s="1830"/>
      <c r="BA266" s="1830"/>
      <c r="BB266" s="1830"/>
      <c r="BC266" s="1830"/>
      <c r="BD266" s="1830"/>
      <c r="BE266" s="1830"/>
      <c r="BF266" s="1830"/>
      <c r="BG266" s="1643"/>
    </row>
    <row customHeight="1" ht="11.25">
      <c r="A267" s="1174" t="s">
        <v>1040</v>
      </c>
      <c r="B267" s="1174"/>
      <c r="C267" s="1174"/>
      <c r="D267" s="1168"/>
      <c r="E267" s="1178"/>
      <c r="F267" s="1836"/>
      <c r="G267" s="1837"/>
      <c r="H267" s="2536" t="s">
        <v>1181</v>
      </c>
      <c r="I267" s="2537"/>
      <c r="J267" s="2506"/>
      <c r="K267" s="2538"/>
      <c r="L267" s="2128"/>
      <c r="M267" s="2129"/>
      <c r="N267" s="2529"/>
      <c r="O267" s="2530">
        <v>1</v>
      </c>
      <c r="P267" s="2531" t="s">
        <v>61</v>
      </c>
      <c r="Q267" s="2735" t="s">
        <v>1079</v>
      </c>
      <c r="R267" s="2736" t="s">
        <v>1080</v>
      </c>
      <c r="S267" s="2736" t="s">
        <v>99</v>
      </c>
      <c r="T267" s="2736" t="s">
        <v>99</v>
      </c>
      <c r="U267" s="2736" t="s">
        <v>100</v>
      </c>
      <c r="V267" s="2736" t="s">
        <v>1081</v>
      </c>
      <c r="W267" s="2736" t="s">
        <v>1082</v>
      </c>
      <c r="X267" s="2736" t="s">
        <v>1083</v>
      </c>
      <c r="Y267" s="2736" t="s">
        <v>1084</v>
      </c>
      <c r="Z267" s="1183"/>
      <c r="AA267" s="1184"/>
      <c r="AB267" s="1184"/>
      <c r="AC267" s="1188"/>
      <c r="AD267" s="1188"/>
      <c r="AE267" s="1189"/>
      <c r="AF267" s="2527"/>
      <c r="AG267" s="2528"/>
      <c r="AH267" s="2528"/>
      <c r="AI267" s="2734"/>
      <c r="AJ267" s="2528"/>
      <c r="AK267" s="2528"/>
      <c r="AL267" s="1993"/>
      <c r="AM267" s="1830"/>
      <c r="AN267" s="1830"/>
      <c r="AO267" s="1830"/>
      <c r="AP267" s="1830"/>
      <c r="AQ267" s="1830"/>
      <c r="AR267" s="1830"/>
      <c r="AS267" s="1830"/>
      <c r="AT267" s="1830"/>
      <c r="AU267" s="1830"/>
      <c r="AV267" s="1830"/>
      <c r="AW267" s="1830"/>
      <c r="AX267" s="1830"/>
      <c r="AY267" s="1830"/>
      <c r="AZ267" s="1830"/>
      <c r="BA267" s="1830"/>
      <c r="BB267" s="1830"/>
      <c r="BC267" s="1830"/>
      <c r="BD267" s="1830"/>
      <c r="BE267" s="1830"/>
      <c r="BF267" s="1830"/>
      <c r="BG267" s="1643"/>
    </row>
    <row customHeight="1" ht="11.25">
      <c r="A268" s="1174" t="s">
        <v>1040</v>
      </c>
      <c r="B268" s="1174"/>
      <c r="C268" s="1174"/>
      <c r="D268" s="1168"/>
      <c r="E268" s="1178"/>
      <c r="F268" s="1836"/>
      <c r="G268" s="1837"/>
      <c r="H268" s="2536" t="s">
        <v>1181</v>
      </c>
      <c r="I268" s="2537"/>
      <c r="J268" s="2506"/>
      <c r="K268" s="2538"/>
      <c r="L268" s="2128"/>
      <c r="M268" s="2129"/>
      <c r="N268" s="2529"/>
      <c r="O268" s="2530"/>
      <c r="P268" s="2532"/>
      <c r="Q268" s="2735"/>
      <c r="R268" s="2534"/>
      <c r="S268" s="2535"/>
      <c r="T268" s="2534"/>
      <c r="U268" s="2534"/>
      <c r="V268" s="2534"/>
      <c r="W268" s="2534"/>
      <c r="X268" s="2534"/>
      <c r="Y268" s="2534"/>
      <c r="Z268" s="1835"/>
      <c r="AA268" s="1801">
        <v>1</v>
      </c>
      <c r="AB268" s="1187" t="s">
        <v>1114</v>
      </c>
      <c r="AC268" s="1177">
        <v>1069.57</v>
      </c>
      <c r="AD268" s="1187" t="str">
        <f>AB268</f>
        <v>  За счет платы за технологическое присоединение</v>
      </c>
      <c r="AE268" s="1177">
        <v>0</v>
      </c>
      <c r="AF268" s="2527"/>
      <c r="AG268" s="2528"/>
      <c r="AH268" s="2528"/>
      <c r="AI268" s="2734"/>
      <c r="AJ268" s="2528"/>
      <c r="AK268" s="2528"/>
      <c r="AL268" s="1993"/>
      <c r="AM268" s="1830"/>
      <c r="AN268" s="1830"/>
      <c r="AO268" s="1830"/>
      <c r="AP268" s="1830"/>
      <c r="AQ268" s="1830"/>
      <c r="AR268" s="1830"/>
      <c r="AS268" s="1830"/>
      <c r="AT268" s="1830"/>
      <c r="AU268" s="1830"/>
      <c r="AV268" s="1830"/>
      <c r="AW268" s="1830"/>
      <c r="AX268" s="1830"/>
      <c r="AY268" s="1830"/>
      <c r="AZ268" s="1830"/>
      <c r="BA268" s="1830"/>
      <c r="BB268" s="1830"/>
      <c r="BC268" s="1830"/>
      <c r="BD268" s="1830"/>
      <c r="BE268" s="1830"/>
      <c r="BF268" s="1830"/>
      <c r="BG268" s="1643"/>
    </row>
    <row customHeight="1" ht="11.25">
      <c r="A269" s="1174" t="s">
        <v>1040</v>
      </c>
      <c r="B269" s="1174"/>
      <c r="C269" s="1174"/>
      <c r="D269" s="1168"/>
      <c r="E269" s="1178"/>
      <c r="F269" s="1837"/>
      <c r="G269" s="1837"/>
      <c r="H269" s="1837"/>
      <c r="I269" s="1837"/>
      <c r="J269" s="1837"/>
      <c r="K269" s="1837"/>
      <c r="L269" s="1837"/>
      <c r="M269" s="1837"/>
      <c r="N269" s="1837"/>
      <c r="O269" s="1837"/>
      <c r="P269" s="1837"/>
      <c r="Q269" s="1837"/>
      <c r="R269" s="1837"/>
      <c r="S269" s="1837"/>
      <c r="T269" s="1837"/>
      <c r="U269" s="1837"/>
      <c r="V269" s="1837"/>
      <c r="W269" s="1837"/>
      <c r="X269" s="1837"/>
      <c r="Y269" s="1837"/>
      <c r="Z269" s="691" t="s">
        <v>103</v>
      </c>
      <c r="AA269" s="1821" t="s">
        <v>102</v>
      </c>
      <c r="AB269" s="1187" t="s">
        <v>1085</v>
      </c>
      <c r="AC269" s="1177">
        <v>213.91</v>
      </c>
      <c r="AD269" s="1187" t="str">
        <f>AB269</f>
        <v>  Прочие собственные средства</v>
      </c>
      <c r="AE269" s="1177">
        <v>0</v>
      </c>
      <c r="AF269" s="2094"/>
      <c r="AG269" s="1766"/>
      <c r="AH269" s="1766"/>
      <c r="AI269" s="2740"/>
      <c r="AJ269" s="1766"/>
      <c r="AK269" s="1992"/>
      <c r="AL269" s="1993"/>
      <c r="AM269" s="1830"/>
      <c r="AN269" s="1830"/>
      <c r="AO269" s="1830"/>
      <c r="AP269" s="1830"/>
      <c r="AQ269" s="1830"/>
      <c r="AR269" s="1830"/>
      <c r="AS269" s="1830"/>
      <c r="AT269" s="1830"/>
      <c r="AU269" s="1830"/>
      <c r="AV269" s="1830"/>
      <c r="AW269" s="1830"/>
      <c r="AX269" s="1830"/>
      <c r="AY269" s="1830"/>
      <c r="AZ269" s="1830"/>
      <c r="BA269" s="1830"/>
      <c r="BB269" s="1830"/>
      <c r="BC269" s="1830"/>
      <c r="BD269" s="1830"/>
      <c r="BE269" s="1830"/>
      <c r="BF269" s="1830"/>
      <c r="BG269" s="1643"/>
    </row>
    <row customHeight="1" ht="11.25">
      <c r="A270" s="1174" t="s">
        <v>1040</v>
      </c>
      <c r="B270" s="1174"/>
      <c r="C270" s="1174"/>
      <c r="D270" s="1168"/>
      <c r="E270" s="1178"/>
      <c r="F270" s="1836"/>
      <c r="G270" s="1837"/>
      <c r="H270" s="2536" t="s">
        <v>1181</v>
      </c>
      <c r="I270" s="2537"/>
      <c r="J270" s="2506"/>
      <c r="K270" s="2538"/>
      <c r="L270" s="2128"/>
      <c r="M270" s="2129"/>
      <c r="N270" s="2529"/>
      <c r="O270" s="2530"/>
      <c r="P270" s="2533"/>
      <c r="Q270" s="2735"/>
      <c r="R270" s="2534"/>
      <c r="S270" s="2535"/>
      <c r="T270" s="2534"/>
      <c r="U270" s="2534"/>
      <c r="V270" s="2534"/>
      <c r="W270" s="2534"/>
      <c r="X270" s="2534"/>
      <c r="Y270" s="2534"/>
      <c r="Z270" s="1183"/>
      <c r="AA270" s="1184"/>
      <c r="AB270" s="1249" t="s">
        <v>1086</v>
      </c>
      <c r="AC270" s="1188"/>
      <c r="AD270" s="1188"/>
      <c r="AE270" s="1190"/>
      <c r="AF270" s="2527"/>
      <c r="AG270" s="2528"/>
      <c r="AH270" s="2528"/>
      <c r="AI270" s="2734"/>
      <c r="AJ270" s="2528"/>
      <c r="AK270" s="2528"/>
      <c r="AL270" s="1993"/>
      <c r="AM270" s="1830"/>
      <c r="AN270" s="1830"/>
      <c r="AO270" s="1830"/>
      <c r="AP270" s="1830"/>
      <c r="AQ270" s="1830"/>
      <c r="AR270" s="1830"/>
      <c r="AS270" s="1830"/>
      <c r="AT270" s="1830"/>
      <c r="AU270" s="1830"/>
      <c r="AV270" s="1830"/>
      <c r="AW270" s="1830"/>
      <c r="AX270" s="1830"/>
      <c r="AY270" s="1830"/>
      <c r="AZ270" s="1830"/>
      <c r="BA270" s="1830"/>
      <c r="BB270" s="1830"/>
      <c r="BC270" s="1830"/>
      <c r="BD270" s="1830"/>
      <c r="BE270" s="1830"/>
      <c r="BF270" s="1830"/>
      <c r="BG270" s="1643"/>
    </row>
    <row customHeight="1" ht="11.25">
      <c r="A271" s="1174" t="s">
        <v>1040</v>
      </c>
      <c r="B271" s="1174"/>
      <c r="C271" s="1174"/>
      <c r="D271" s="1168"/>
      <c r="E271" s="1178"/>
      <c r="F271" s="1836"/>
      <c r="G271" s="1837"/>
      <c r="H271" s="2536" t="s">
        <v>1181</v>
      </c>
      <c r="I271" s="2537"/>
      <c r="J271" s="2506"/>
      <c r="K271" s="2538"/>
      <c r="L271" s="2128"/>
      <c r="M271" s="2129"/>
      <c r="N271" s="1183"/>
      <c r="O271" s="1184"/>
      <c r="P271" s="1176" t="s">
        <v>1087</v>
      </c>
      <c r="Q271" s="1184"/>
      <c r="R271" s="1184"/>
      <c r="S271" s="1184"/>
      <c r="T271" s="1184"/>
      <c r="U271" s="1184"/>
      <c r="V271" s="1184"/>
      <c r="W271" s="1184"/>
      <c r="X271" s="1184"/>
      <c r="Y271" s="1184"/>
      <c r="Z271" s="1184"/>
      <c r="AA271" s="1184"/>
      <c r="AB271" s="1184"/>
      <c r="AC271" s="1184"/>
      <c r="AD271" s="1184"/>
      <c r="AE271" s="1191"/>
      <c r="AF271" s="2527"/>
      <c r="AG271" s="2528"/>
      <c r="AH271" s="2528"/>
      <c r="AI271" s="2734"/>
      <c r="AJ271" s="2528"/>
      <c r="AK271" s="2528"/>
      <c r="AL271" s="1993"/>
      <c r="AM271" s="1830"/>
      <c r="AN271" s="1830"/>
      <c r="AO271" s="1830"/>
      <c r="AP271" s="1830"/>
      <c r="AQ271" s="1830"/>
      <c r="AR271" s="1830"/>
      <c r="AS271" s="1830"/>
      <c r="AT271" s="1830"/>
      <c r="AU271" s="1830"/>
      <c r="AV271" s="1830"/>
      <c r="AW271" s="1830"/>
      <c r="AX271" s="1830"/>
      <c r="AY271" s="1830"/>
      <c r="AZ271" s="1830"/>
      <c r="BA271" s="1830"/>
      <c r="BB271" s="1830"/>
      <c r="BC271" s="1830"/>
      <c r="BD271" s="1830"/>
      <c r="BE271" s="1830"/>
      <c r="BF271" s="1830"/>
      <c r="BG271" s="1643"/>
    </row>
    <row customHeight="1" ht="11.25">
      <c r="A272" s="1174" t="s">
        <v>1040</v>
      </c>
      <c r="B272" s="1174" t="s">
        <v>1119</v>
      </c>
      <c r="C272" s="1174"/>
      <c r="D272" s="1168"/>
      <c r="E272" s="1178"/>
      <c r="F272" s="1836"/>
      <c r="G272" s="691" t="s">
        <v>103</v>
      </c>
      <c r="H272" s="2536" t="s">
        <v>1185</v>
      </c>
      <c r="I272" s="2537" t="s">
        <v>1121</v>
      </c>
      <c r="J272" s="2506" t="s">
        <v>1125</v>
      </c>
      <c r="K272" s="2538" t="s">
        <v>1186</v>
      </c>
      <c r="L272" s="2128" t="s">
        <v>19</v>
      </c>
      <c r="M272" s="2129"/>
      <c r="N272" s="1991"/>
      <c r="O272" s="1185" t="s">
        <v>393</v>
      </c>
      <c r="P272" s="1186"/>
      <c r="Q272" s="1186"/>
      <c r="R272" s="1186"/>
      <c r="S272" s="1186"/>
      <c r="T272" s="1186"/>
      <c r="U272" s="1186"/>
      <c r="V272" s="1186"/>
      <c r="W272" s="1186"/>
      <c r="X272" s="1186"/>
      <c r="Y272" s="1186"/>
      <c r="Z272" s="1186"/>
      <c r="AA272" s="1186"/>
      <c r="AB272" s="1186"/>
      <c r="AC272" s="1186"/>
      <c r="AD272" s="1186"/>
      <c r="AE272" s="1186"/>
      <c r="AF272" s="2527">
        <v>1</v>
      </c>
      <c r="AG272" s="2528" t="s">
        <v>1076</v>
      </c>
      <c r="AH272" s="2528" t="s">
        <v>1091</v>
      </c>
      <c r="AI272" s="2734"/>
      <c r="AJ272" s="2528" t="s">
        <v>1132</v>
      </c>
      <c r="AK272" s="2528" t="s">
        <v>1132</v>
      </c>
      <c r="AL272" s="1993"/>
      <c r="AM272" s="1830"/>
      <c r="AN272" s="1830"/>
      <c r="AO272" s="1830"/>
      <c r="AP272" s="1830"/>
      <c r="AQ272" s="1830"/>
      <c r="AR272" s="1830"/>
      <c r="AS272" s="1830"/>
      <c r="AT272" s="1830"/>
      <c r="AU272" s="1830"/>
      <c r="AV272" s="1830"/>
      <c r="AW272" s="1830"/>
      <c r="AX272" s="1830"/>
      <c r="AY272" s="1830"/>
      <c r="AZ272" s="1830"/>
      <c r="BA272" s="1830"/>
      <c r="BB272" s="1830"/>
      <c r="BC272" s="1830"/>
      <c r="BD272" s="1830"/>
      <c r="BE272" s="1830"/>
      <c r="BF272" s="1830"/>
      <c r="BG272" s="1643"/>
    </row>
    <row customHeight="1" ht="11.25">
      <c r="A273" s="1174" t="s">
        <v>1040</v>
      </c>
      <c r="B273" s="1174"/>
      <c r="C273" s="1174"/>
      <c r="D273" s="1168"/>
      <c r="E273" s="1178"/>
      <c r="F273" s="1836"/>
      <c r="G273" s="1837"/>
      <c r="H273" s="2536" t="s">
        <v>1183</v>
      </c>
      <c r="I273" s="2537"/>
      <c r="J273" s="2506"/>
      <c r="K273" s="2538"/>
      <c r="L273" s="2128"/>
      <c r="M273" s="2129"/>
      <c r="N273" s="2529"/>
      <c r="O273" s="2530">
        <v>1</v>
      </c>
      <c r="P273" s="2531" t="s">
        <v>61</v>
      </c>
      <c r="Q273" s="2735" t="s">
        <v>1079</v>
      </c>
      <c r="R273" s="2736" t="s">
        <v>1080</v>
      </c>
      <c r="S273" s="2736" t="s">
        <v>99</v>
      </c>
      <c r="T273" s="2736" t="s">
        <v>99</v>
      </c>
      <c r="U273" s="2736" t="s">
        <v>100</v>
      </c>
      <c r="V273" s="2736" t="s">
        <v>1081</v>
      </c>
      <c r="W273" s="2736" t="s">
        <v>1082</v>
      </c>
      <c r="X273" s="2736" t="s">
        <v>1083</v>
      </c>
      <c r="Y273" s="2736" t="s">
        <v>1084</v>
      </c>
      <c r="Z273" s="1183"/>
      <c r="AA273" s="1184"/>
      <c r="AB273" s="1184"/>
      <c r="AC273" s="1188"/>
      <c r="AD273" s="1188"/>
      <c r="AE273" s="1189"/>
      <c r="AF273" s="2527"/>
      <c r="AG273" s="2528"/>
      <c r="AH273" s="2528"/>
      <c r="AI273" s="2734"/>
      <c r="AJ273" s="2528"/>
      <c r="AK273" s="2528"/>
      <c r="AL273" s="1993"/>
      <c r="AM273" s="1830"/>
      <c r="AN273" s="1830"/>
      <c r="AO273" s="1830"/>
      <c r="AP273" s="1830"/>
      <c r="AQ273" s="1830"/>
      <c r="AR273" s="1830"/>
      <c r="AS273" s="1830"/>
      <c r="AT273" s="1830"/>
      <c r="AU273" s="1830"/>
      <c r="AV273" s="1830"/>
      <c r="AW273" s="1830"/>
      <c r="AX273" s="1830"/>
      <c r="AY273" s="1830"/>
      <c r="AZ273" s="1830"/>
      <c r="BA273" s="1830"/>
      <c r="BB273" s="1830"/>
      <c r="BC273" s="1830"/>
      <c r="BD273" s="1830"/>
      <c r="BE273" s="1830"/>
      <c r="BF273" s="1830"/>
      <c r="BG273" s="1643"/>
    </row>
    <row customHeight="1" ht="11.25">
      <c r="A274" s="1174" t="s">
        <v>1040</v>
      </c>
      <c r="B274" s="1174"/>
      <c r="C274" s="1174"/>
      <c r="D274" s="1168"/>
      <c r="E274" s="1178"/>
      <c r="F274" s="1836"/>
      <c r="G274" s="1837"/>
      <c r="H274" s="2536" t="s">
        <v>1183</v>
      </c>
      <c r="I274" s="2537"/>
      <c r="J274" s="2506"/>
      <c r="K274" s="2538"/>
      <c r="L274" s="2128"/>
      <c r="M274" s="2129"/>
      <c r="N274" s="2529"/>
      <c r="O274" s="2530"/>
      <c r="P274" s="2532"/>
      <c r="Q274" s="2735"/>
      <c r="R274" s="2534"/>
      <c r="S274" s="2535"/>
      <c r="T274" s="2534"/>
      <c r="U274" s="2534"/>
      <c r="V274" s="2534"/>
      <c r="W274" s="2534"/>
      <c r="X274" s="2534"/>
      <c r="Y274" s="2534"/>
      <c r="Z274" s="1835"/>
      <c r="AA274" s="1801">
        <v>1</v>
      </c>
      <c r="AB274" s="1187" t="s">
        <v>1114</v>
      </c>
      <c r="AC274" s="1177">
        <v>2430.93</v>
      </c>
      <c r="AD274" s="1187" t="str">
        <f>AB274</f>
        <v>  За счет платы за технологическое присоединение</v>
      </c>
      <c r="AE274" s="1177">
        <v>0</v>
      </c>
      <c r="AF274" s="2527"/>
      <c r="AG274" s="2528"/>
      <c r="AH274" s="2528"/>
      <c r="AI274" s="2734"/>
      <c r="AJ274" s="2528"/>
      <c r="AK274" s="2528"/>
      <c r="AL274" s="1993"/>
      <c r="AM274" s="1830"/>
      <c r="AN274" s="1830"/>
      <c r="AO274" s="1830"/>
      <c r="AP274" s="1830"/>
      <c r="AQ274" s="1830"/>
      <c r="AR274" s="1830"/>
      <c r="AS274" s="1830"/>
      <c r="AT274" s="1830"/>
      <c r="AU274" s="1830"/>
      <c r="AV274" s="1830"/>
      <c r="AW274" s="1830"/>
      <c r="AX274" s="1830"/>
      <c r="AY274" s="1830"/>
      <c r="AZ274" s="1830"/>
      <c r="BA274" s="1830"/>
      <c r="BB274" s="1830"/>
      <c r="BC274" s="1830"/>
      <c r="BD274" s="1830"/>
      <c r="BE274" s="1830"/>
      <c r="BF274" s="1830"/>
      <c r="BG274" s="1643"/>
    </row>
    <row customHeight="1" ht="11.25">
      <c r="A275" s="1174" t="s">
        <v>1040</v>
      </c>
      <c r="B275" s="1174"/>
      <c r="C275" s="1174"/>
      <c r="D275" s="1168"/>
      <c r="E275" s="1178"/>
      <c r="F275" s="1837"/>
      <c r="G275" s="1837"/>
      <c r="H275" s="1837"/>
      <c r="I275" s="1837"/>
      <c r="J275" s="1837"/>
      <c r="K275" s="1837"/>
      <c r="L275" s="1837"/>
      <c r="M275" s="1837"/>
      <c r="N275" s="1837"/>
      <c r="O275" s="1837"/>
      <c r="P275" s="1837"/>
      <c r="Q275" s="1837"/>
      <c r="R275" s="1837"/>
      <c r="S275" s="1837"/>
      <c r="T275" s="1837"/>
      <c r="U275" s="1837"/>
      <c r="V275" s="1837"/>
      <c r="W275" s="1837"/>
      <c r="X275" s="1837"/>
      <c r="Y275" s="1837"/>
      <c r="Z275" s="691" t="s">
        <v>103</v>
      </c>
      <c r="AA275" s="1821" t="s">
        <v>102</v>
      </c>
      <c r="AB275" s="1187" t="s">
        <v>1085</v>
      </c>
      <c r="AC275" s="1177">
        <v>486.19</v>
      </c>
      <c r="AD275" s="1187" t="str">
        <f>AB275</f>
        <v>  Прочие собственные средства</v>
      </c>
      <c r="AE275" s="1177">
        <v>0</v>
      </c>
      <c r="AF275" s="2094"/>
      <c r="AG275" s="1766"/>
      <c r="AH275" s="1766"/>
      <c r="AI275" s="2740"/>
      <c r="AJ275" s="1766"/>
      <c r="AK275" s="1992"/>
      <c r="AL275" s="1993"/>
      <c r="AM275" s="1830"/>
      <c r="AN275" s="1830"/>
      <c r="AO275" s="1830"/>
      <c r="AP275" s="1830"/>
      <c r="AQ275" s="1830"/>
      <c r="AR275" s="1830"/>
      <c r="AS275" s="1830"/>
      <c r="AT275" s="1830"/>
      <c r="AU275" s="1830"/>
      <c r="AV275" s="1830"/>
      <c r="AW275" s="1830"/>
      <c r="AX275" s="1830"/>
      <c r="AY275" s="1830"/>
      <c r="AZ275" s="1830"/>
      <c r="BA275" s="1830"/>
      <c r="BB275" s="1830"/>
      <c r="BC275" s="1830"/>
      <c r="BD275" s="1830"/>
      <c r="BE275" s="1830"/>
      <c r="BF275" s="1830"/>
      <c r="BG275" s="1643"/>
    </row>
    <row customHeight="1" ht="11.25">
      <c r="A276" s="1174" t="s">
        <v>1040</v>
      </c>
      <c r="B276" s="1174"/>
      <c r="C276" s="1174"/>
      <c r="D276" s="1168"/>
      <c r="E276" s="1178"/>
      <c r="F276" s="1836"/>
      <c r="G276" s="1837"/>
      <c r="H276" s="2536" t="s">
        <v>1183</v>
      </c>
      <c r="I276" s="2537"/>
      <c r="J276" s="2506"/>
      <c r="K276" s="2538"/>
      <c r="L276" s="2128"/>
      <c r="M276" s="2129"/>
      <c r="N276" s="2529"/>
      <c r="O276" s="2530"/>
      <c r="P276" s="2533"/>
      <c r="Q276" s="2735"/>
      <c r="R276" s="2534"/>
      <c r="S276" s="2535"/>
      <c r="T276" s="2534"/>
      <c r="U276" s="2534"/>
      <c r="V276" s="2534"/>
      <c r="W276" s="2534"/>
      <c r="X276" s="2534"/>
      <c r="Y276" s="2534"/>
      <c r="Z276" s="1183"/>
      <c r="AA276" s="1184"/>
      <c r="AB276" s="1249" t="s">
        <v>1086</v>
      </c>
      <c r="AC276" s="1188"/>
      <c r="AD276" s="1188"/>
      <c r="AE276" s="1190"/>
      <c r="AF276" s="2527"/>
      <c r="AG276" s="2528"/>
      <c r="AH276" s="2528"/>
      <c r="AI276" s="2734"/>
      <c r="AJ276" s="2528"/>
      <c r="AK276" s="2528"/>
      <c r="AL276" s="1993"/>
      <c r="AM276" s="1830"/>
      <c r="AN276" s="1830"/>
      <c r="AO276" s="1830"/>
      <c r="AP276" s="1830"/>
      <c r="AQ276" s="1830"/>
      <c r="AR276" s="1830"/>
      <c r="AS276" s="1830"/>
      <c r="AT276" s="1830"/>
      <c r="AU276" s="1830"/>
      <c r="AV276" s="1830"/>
      <c r="AW276" s="1830"/>
      <c r="AX276" s="1830"/>
      <c r="AY276" s="1830"/>
      <c r="AZ276" s="1830"/>
      <c r="BA276" s="1830"/>
      <c r="BB276" s="1830"/>
      <c r="BC276" s="1830"/>
      <c r="BD276" s="1830"/>
      <c r="BE276" s="1830"/>
      <c r="BF276" s="1830"/>
      <c r="BG276" s="1643"/>
    </row>
    <row customHeight="1" ht="11.25">
      <c r="A277" s="1174" t="s">
        <v>1040</v>
      </c>
      <c r="B277" s="1174"/>
      <c r="C277" s="1174"/>
      <c r="D277" s="1168"/>
      <c r="E277" s="1178"/>
      <c r="F277" s="1836"/>
      <c r="G277" s="1837"/>
      <c r="H277" s="2536" t="s">
        <v>1183</v>
      </c>
      <c r="I277" s="2537"/>
      <c r="J277" s="2506"/>
      <c r="K277" s="2538"/>
      <c r="L277" s="2128"/>
      <c r="M277" s="2129"/>
      <c r="N277" s="1183"/>
      <c r="O277" s="1184"/>
      <c r="P277" s="1176" t="s">
        <v>1087</v>
      </c>
      <c r="Q277" s="1184"/>
      <c r="R277" s="1184"/>
      <c r="S277" s="1184"/>
      <c r="T277" s="1184"/>
      <c r="U277" s="1184"/>
      <c r="V277" s="1184"/>
      <c r="W277" s="1184"/>
      <c r="X277" s="1184"/>
      <c r="Y277" s="1184"/>
      <c r="Z277" s="1184"/>
      <c r="AA277" s="1184"/>
      <c r="AB277" s="1184"/>
      <c r="AC277" s="1184"/>
      <c r="AD277" s="1184"/>
      <c r="AE277" s="1191"/>
      <c r="AF277" s="2527"/>
      <c r="AG277" s="2528"/>
      <c r="AH277" s="2528"/>
      <c r="AI277" s="2734"/>
      <c r="AJ277" s="2528"/>
      <c r="AK277" s="2528"/>
      <c r="AL277" s="1993"/>
      <c r="AM277" s="1830"/>
      <c r="AN277" s="1830"/>
      <c r="AO277" s="1830"/>
      <c r="AP277" s="1830"/>
      <c r="AQ277" s="1830"/>
      <c r="AR277" s="1830"/>
      <c r="AS277" s="1830"/>
      <c r="AT277" s="1830"/>
      <c r="AU277" s="1830"/>
      <c r="AV277" s="1830"/>
      <c r="AW277" s="1830"/>
      <c r="AX277" s="1830"/>
      <c r="AY277" s="1830"/>
      <c r="AZ277" s="1830"/>
      <c r="BA277" s="1830"/>
      <c r="BB277" s="1830"/>
      <c r="BC277" s="1830"/>
      <c r="BD277" s="1830"/>
      <c r="BE277" s="1830"/>
      <c r="BF277" s="1830"/>
      <c r="BG277" s="1643"/>
    </row>
    <row customHeight="1" ht="11.25">
      <c r="A278" s="1174" t="s">
        <v>1040</v>
      </c>
      <c r="B278" s="1174" t="s">
        <v>1119</v>
      </c>
      <c r="C278" s="1174"/>
      <c r="D278" s="1168"/>
      <c r="E278" s="1178"/>
      <c r="F278" s="1836"/>
      <c r="G278" s="691" t="s">
        <v>103</v>
      </c>
      <c r="H278" s="2536" t="s">
        <v>1187</v>
      </c>
      <c r="I278" s="2537" t="s">
        <v>1121</v>
      </c>
      <c r="J278" s="2506" t="s">
        <v>1125</v>
      </c>
      <c r="K278" s="2538" t="s">
        <v>1188</v>
      </c>
      <c r="L278" s="2128" t="s">
        <v>19</v>
      </c>
      <c r="M278" s="2129"/>
      <c r="N278" s="1991"/>
      <c r="O278" s="1185" t="s">
        <v>393</v>
      </c>
      <c r="P278" s="1186"/>
      <c r="Q278" s="1186"/>
      <c r="R278" s="1186"/>
      <c r="S278" s="1186"/>
      <c r="T278" s="1186"/>
      <c r="U278" s="1186"/>
      <c r="V278" s="1186"/>
      <c r="W278" s="1186"/>
      <c r="X278" s="1186"/>
      <c r="Y278" s="1186"/>
      <c r="Z278" s="1186"/>
      <c r="AA278" s="1186"/>
      <c r="AB278" s="1186"/>
      <c r="AC278" s="1186"/>
      <c r="AD278" s="1186"/>
      <c r="AE278" s="1186"/>
      <c r="AF278" s="2527">
        <v>1</v>
      </c>
      <c r="AG278" s="2528" t="s">
        <v>1076</v>
      </c>
      <c r="AH278" s="2528" t="s">
        <v>1091</v>
      </c>
      <c r="AI278" s="2527">
        <v>1</v>
      </c>
      <c r="AJ278" s="2528" t="s">
        <v>1100</v>
      </c>
      <c r="AK278" s="2528" t="s">
        <v>1091</v>
      </c>
      <c r="AL278" s="1993"/>
      <c r="AM278" s="1830"/>
      <c r="AN278" s="1830"/>
      <c r="AO278" s="1830"/>
      <c r="AP278" s="1830"/>
      <c r="AQ278" s="1830"/>
      <c r="AR278" s="1830"/>
      <c r="AS278" s="1830"/>
      <c r="AT278" s="1830"/>
      <c r="AU278" s="1830"/>
      <c r="AV278" s="1830"/>
      <c r="AW278" s="1830"/>
      <c r="AX278" s="1830"/>
      <c r="AY278" s="1830"/>
      <c r="AZ278" s="1830"/>
      <c r="BA278" s="1830"/>
      <c r="BB278" s="1830"/>
      <c r="BC278" s="1830"/>
      <c r="BD278" s="1830"/>
      <c r="BE278" s="1830"/>
      <c r="BF278" s="1830"/>
      <c r="BG278" s="1643"/>
    </row>
    <row customHeight="1" ht="11.25">
      <c r="A279" s="1174" t="s">
        <v>1040</v>
      </c>
      <c r="B279" s="1174"/>
      <c r="C279" s="1174"/>
      <c r="D279" s="1168"/>
      <c r="E279" s="1178"/>
      <c r="F279" s="1836"/>
      <c r="G279" s="1837"/>
      <c r="H279" s="2536" t="s">
        <v>1185</v>
      </c>
      <c r="I279" s="2537"/>
      <c r="J279" s="2506"/>
      <c r="K279" s="2538"/>
      <c r="L279" s="2128"/>
      <c r="M279" s="2129"/>
      <c r="N279" s="2529"/>
      <c r="O279" s="2530">
        <v>1</v>
      </c>
      <c r="P279" s="2531" t="s">
        <v>61</v>
      </c>
      <c r="Q279" s="2735" t="s">
        <v>1079</v>
      </c>
      <c r="R279" s="2736" t="s">
        <v>1080</v>
      </c>
      <c r="S279" s="2736" t="s">
        <v>99</v>
      </c>
      <c r="T279" s="2736" t="s">
        <v>99</v>
      </c>
      <c r="U279" s="2736" t="s">
        <v>100</v>
      </c>
      <c r="V279" s="2736" t="s">
        <v>1081</v>
      </c>
      <c r="W279" s="2736" t="s">
        <v>1082</v>
      </c>
      <c r="X279" s="2736" t="s">
        <v>1083</v>
      </c>
      <c r="Y279" s="2736" t="s">
        <v>1084</v>
      </c>
      <c r="Z279" s="1183"/>
      <c r="AA279" s="1184"/>
      <c r="AB279" s="1184"/>
      <c r="AC279" s="1188"/>
      <c r="AD279" s="1188"/>
      <c r="AE279" s="1189"/>
      <c r="AF279" s="2527"/>
      <c r="AG279" s="2528"/>
      <c r="AH279" s="2528"/>
      <c r="AI279" s="2527"/>
      <c r="AJ279" s="2528"/>
      <c r="AK279" s="2528"/>
      <c r="AL279" s="1993"/>
      <c r="AM279" s="1830"/>
      <c r="AN279" s="1830"/>
      <c r="AO279" s="1830"/>
      <c r="AP279" s="1830"/>
      <c r="AQ279" s="1830"/>
      <c r="AR279" s="1830"/>
      <c r="AS279" s="1830"/>
      <c r="AT279" s="1830"/>
      <c r="AU279" s="1830"/>
      <c r="AV279" s="1830"/>
      <c r="AW279" s="1830"/>
      <c r="AX279" s="1830"/>
      <c r="AY279" s="1830"/>
      <c r="AZ279" s="1830"/>
      <c r="BA279" s="1830"/>
      <c r="BB279" s="1830"/>
      <c r="BC279" s="1830"/>
      <c r="BD279" s="1830"/>
      <c r="BE279" s="1830"/>
      <c r="BF279" s="1830"/>
      <c r="BG279" s="1643"/>
    </row>
    <row customHeight="1" ht="11.25">
      <c r="A280" s="1174" t="s">
        <v>1040</v>
      </c>
      <c r="B280" s="1174"/>
      <c r="C280" s="1174"/>
      <c r="D280" s="1168"/>
      <c r="E280" s="1178"/>
      <c r="F280" s="1836"/>
      <c r="G280" s="1837"/>
      <c r="H280" s="2536" t="s">
        <v>1185</v>
      </c>
      <c r="I280" s="2537"/>
      <c r="J280" s="2506"/>
      <c r="K280" s="2538"/>
      <c r="L280" s="2128"/>
      <c r="M280" s="2129"/>
      <c r="N280" s="2529"/>
      <c r="O280" s="2530"/>
      <c r="P280" s="2532"/>
      <c r="Q280" s="2735"/>
      <c r="R280" s="2534"/>
      <c r="S280" s="2535"/>
      <c r="T280" s="2534"/>
      <c r="U280" s="2534"/>
      <c r="V280" s="2534"/>
      <c r="W280" s="2534"/>
      <c r="X280" s="2534"/>
      <c r="Y280" s="2534"/>
      <c r="Z280" s="1835"/>
      <c r="AA280" s="1801">
        <v>1</v>
      </c>
      <c r="AB280" s="1187" t="s">
        <v>1114</v>
      </c>
      <c r="AC280" s="1177">
        <v>7712.3</v>
      </c>
      <c r="AD280" s="1187" t="str">
        <f>AB280</f>
        <v>  За счет платы за технологическое присоединение</v>
      </c>
      <c r="AE280" s="1177">
        <v>7712.3</v>
      </c>
      <c r="AF280" s="2527"/>
      <c r="AG280" s="2528"/>
      <c r="AH280" s="2528"/>
      <c r="AI280" s="2527"/>
      <c r="AJ280" s="2528"/>
      <c r="AK280" s="2528"/>
      <c r="AL280" s="1993"/>
      <c r="AM280" s="1830"/>
      <c r="AN280" s="1830"/>
      <c r="AO280" s="1830"/>
      <c r="AP280" s="1830"/>
      <c r="AQ280" s="1830"/>
      <c r="AR280" s="1830"/>
      <c r="AS280" s="1830"/>
      <c r="AT280" s="1830"/>
      <c r="AU280" s="1830"/>
      <c r="AV280" s="1830"/>
      <c r="AW280" s="1830"/>
      <c r="AX280" s="1830"/>
      <c r="AY280" s="1830"/>
      <c r="AZ280" s="1830"/>
      <c r="BA280" s="1830"/>
      <c r="BB280" s="1830"/>
      <c r="BC280" s="1830"/>
      <c r="BD280" s="1830"/>
      <c r="BE280" s="1830"/>
      <c r="BF280" s="1830"/>
      <c r="BG280" s="1643"/>
    </row>
    <row customHeight="1" ht="11.25">
      <c r="A281" s="1174" t="s">
        <v>1040</v>
      </c>
      <c r="B281" s="1174"/>
      <c r="C281" s="1174"/>
      <c r="D281" s="1168"/>
      <c r="E281" s="1178"/>
      <c r="F281" s="1837"/>
      <c r="G281" s="1837"/>
      <c r="H281" s="1837"/>
      <c r="I281" s="1837"/>
      <c r="J281" s="1837"/>
      <c r="K281" s="1837"/>
      <c r="L281" s="1837"/>
      <c r="M281" s="1837"/>
      <c r="N281" s="1837"/>
      <c r="O281" s="1837"/>
      <c r="P281" s="1837"/>
      <c r="Q281" s="1837"/>
      <c r="R281" s="1837"/>
      <c r="S281" s="1837"/>
      <c r="T281" s="1837"/>
      <c r="U281" s="1837"/>
      <c r="V281" s="1837"/>
      <c r="W281" s="1837"/>
      <c r="X281" s="1837"/>
      <c r="Y281" s="1837"/>
      <c r="Z281" s="691" t="s">
        <v>103</v>
      </c>
      <c r="AA281" s="1821" t="s">
        <v>102</v>
      </c>
      <c r="AB281" s="1187" t="s">
        <v>1085</v>
      </c>
      <c r="AC281" s="1177">
        <v>1542.46</v>
      </c>
      <c r="AD281" s="1187" t="str">
        <f>AB281</f>
        <v>  Прочие собственные средства</v>
      </c>
      <c r="AE281" s="1177">
        <v>1542.46</v>
      </c>
      <c r="AF281" s="2094"/>
      <c r="AG281" s="1766"/>
      <c r="AH281" s="1766"/>
      <c r="AI281" s="2094"/>
      <c r="AJ281" s="1766"/>
      <c r="AK281" s="1992"/>
      <c r="AL281" s="1993"/>
      <c r="AM281" s="1830"/>
      <c r="AN281" s="1830"/>
      <c r="AO281" s="1830"/>
      <c r="AP281" s="1830"/>
      <c r="AQ281" s="1830"/>
      <c r="AR281" s="1830"/>
      <c r="AS281" s="1830"/>
      <c r="AT281" s="1830"/>
      <c r="AU281" s="1830"/>
      <c r="AV281" s="1830"/>
      <c r="AW281" s="1830"/>
      <c r="AX281" s="1830"/>
      <c r="AY281" s="1830"/>
      <c r="AZ281" s="1830"/>
      <c r="BA281" s="1830"/>
      <c r="BB281" s="1830"/>
      <c r="BC281" s="1830"/>
      <c r="BD281" s="1830"/>
      <c r="BE281" s="1830"/>
      <c r="BF281" s="1830"/>
      <c r="BG281" s="1643"/>
    </row>
    <row customHeight="1" ht="11.25">
      <c r="A282" s="1174" t="s">
        <v>1040</v>
      </c>
      <c r="B282" s="1174"/>
      <c r="C282" s="1174"/>
      <c r="D282" s="1168"/>
      <c r="E282" s="1178"/>
      <c r="F282" s="1836"/>
      <c r="G282" s="1837"/>
      <c r="H282" s="2536" t="s">
        <v>1185</v>
      </c>
      <c r="I282" s="2537"/>
      <c r="J282" s="2506"/>
      <c r="K282" s="2538"/>
      <c r="L282" s="2128"/>
      <c r="M282" s="2129"/>
      <c r="N282" s="2529"/>
      <c r="O282" s="2530"/>
      <c r="P282" s="2533"/>
      <c r="Q282" s="2735"/>
      <c r="R282" s="2534"/>
      <c r="S282" s="2535"/>
      <c r="T282" s="2534"/>
      <c r="U282" s="2534"/>
      <c r="V282" s="2534"/>
      <c r="W282" s="2534"/>
      <c r="X282" s="2534"/>
      <c r="Y282" s="2534"/>
      <c r="Z282" s="1183"/>
      <c r="AA282" s="1184"/>
      <c r="AB282" s="1249" t="s">
        <v>1086</v>
      </c>
      <c r="AC282" s="1188"/>
      <c r="AD282" s="1188"/>
      <c r="AE282" s="1190"/>
      <c r="AF282" s="2527"/>
      <c r="AG282" s="2528"/>
      <c r="AH282" s="2528"/>
      <c r="AI282" s="2527"/>
      <c r="AJ282" s="2528"/>
      <c r="AK282" s="2528"/>
      <c r="AL282" s="1993"/>
      <c r="AM282" s="1830"/>
      <c r="AN282" s="1830"/>
      <c r="AO282" s="1830"/>
      <c r="AP282" s="1830"/>
      <c r="AQ282" s="1830"/>
      <c r="AR282" s="1830"/>
      <c r="AS282" s="1830"/>
      <c r="AT282" s="1830"/>
      <c r="AU282" s="1830"/>
      <c r="AV282" s="1830"/>
      <c r="AW282" s="1830"/>
      <c r="AX282" s="1830"/>
      <c r="AY282" s="1830"/>
      <c r="AZ282" s="1830"/>
      <c r="BA282" s="1830"/>
      <c r="BB282" s="1830"/>
      <c r="BC282" s="1830"/>
      <c r="BD282" s="1830"/>
      <c r="BE282" s="1830"/>
      <c r="BF282" s="1830"/>
      <c r="BG282" s="1643"/>
    </row>
    <row customHeight="1" ht="11.25">
      <c r="A283" s="1174" t="s">
        <v>1040</v>
      </c>
      <c r="B283" s="1174"/>
      <c r="C283" s="1174"/>
      <c r="D283" s="1168"/>
      <c r="E283" s="1178"/>
      <c r="F283" s="1836"/>
      <c r="G283" s="1837"/>
      <c r="H283" s="2536" t="s">
        <v>1185</v>
      </c>
      <c r="I283" s="2537"/>
      <c r="J283" s="2506"/>
      <c r="K283" s="2538"/>
      <c r="L283" s="2128"/>
      <c r="M283" s="2129"/>
      <c r="N283" s="1183"/>
      <c r="O283" s="1184"/>
      <c r="P283" s="1176" t="s">
        <v>1087</v>
      </c>
      <c r="Q283" s="1184"/>
      <c r="R283" s="1184"/>
      <c r="S283" s="1184"/>
      <c r="T283" s="1184"/>
      <c r="U283" s="1184"/>
      <c r="V283" s="1184"/>
      <c r="W283" s="1184"/>
      <c r="X283" s="1184"/>
      <c r="Y283" s="1184"/>
      <c r="Z283" s="1184"/>
      <c r="AA283" s="1184"/>
      <c r="AB283" s="1184"/>
      <c r="AC283" s="1184"/>
      <c r="AD283" s="1184"/>
      <c r="AE283" s="1191"/>
      <c r="AF283" s="2527"/>
      <c r="AG283" s="2528"/>
      <c r="AH283" s="2528"/>
      <c r="AI283" s="2527"/>
      <c r="AJ283" s="2528"/>
      <c r="AK283" s="2528"/>
      <c r="AL283" s="1993"/>
      <c r="AM283" s="1830"/>
      <c r="AN283" s="1830"/>
      <c r="AO283" s="1830"/>
      <c r="AP283" s="1830"/>
      <c r="AQ283" s="1830"/>
      <c r="AR283" s="1830"/>
      <c r="AS283" s="1830"/>
      <c r="AT283" s="1830"/>
      <c r="AU283" s="1830"/>
      <c r="AV283" s="1830"/>
      <c r="AW283" s="1830"/>
      <c r="AX283" s="1830"/>
      <c r="AY283" s="1830"/>
      <c r="AZ283" s="1830"/>
      <c r="BA283" s="1830"/>
      <c r="BB283" s="1830"/>
      <c r="BC283" s="1830"/>
      <c r="BD283" s="1830"/>
      <c r="BE283" s="1830"/>
      <c r="BF283" s="1830"/>
      <c r="BG283" s="1643"/>
    </row>
    <row customHeight="1" ht="11.25">
      <c r="A284" s="1174" t="s">
        <v>1040</v>
      </c>
      <c r="B284" s="1174" t="s">
        <v>1119</v>
      </c>
      <c r="C284" s="1174"/>
      <c r="D284" s="1168"/>
      <c r="E284" s="1178"/>
      <c r="F284" s="1836"/>
      <c r="G284" s="691" t="s">
        <v>103</v>
      </c>
      <c r="H284" s="2536" t="s">
        <v>1189</v>
      </c>
      <c r="I284" s="2537" t="s">
        <v>1121</v>
      </c>
      <c r="J284" s="2506" t="s">
        <v>1125</v>
      </c>
      <c r="K284" s="2538" t="s">
        <v>1190</v>
      </c>
      <c r="L284" s="2128" t="s">
        <v>19</v>
      </c>
      <c r="M284" s="2129"/>
      <c r="N284" s="1991"/>
      <c r="O284" s="1185" t="s">
        <v>393</v>
      </c>
      <c r="P284" s="1186"/>
      <c r="Q284" s="1186"/>
      <c r="R284" s="1186"/>
      <c r="S284" s="1186"/>
      <c r="T284" s="1186"/>
      <c r="U284" s="1186"/>
      <c r="V284" s="1186"/>
      <c r="W284" s="1186"/>
      <c r="X284" s="1186"/>
      <c r="Y284" s="1186"/>
      <c r="Z284" s="1186"/>
      <c r="AA284" s="1186"/>
      <c r="AB284" s="1186"/>
      <c r="AC284" s="1186"/>
      <c r="AD284" s="1186"/>
      <c r="AE284" s="1186"/>
      <c r="AF284" s="2527">
        <v>1</v>
      </c>
      <c r="AG284" s="2528" t="s">
        <v>1076</v>
      </c>
      <c r="AH284" s="2528" t="s">
        <v>1091</v>
      </c>
      <c r="AI284" s="2734"/>
      <c r="AJ284" s="2528" t="s">
        <v>1132</v>
      </c>
      <c r="AK284" s="2528" t="s">
        <v>1132</v>
      </c>
      <c r="AL284" s="1993"/>
      <c r="AM284" s="1830"/>
      <c r="AN284" s="1830"/>
      <c r="AO284" s="1830"/>
      <c r="AP284" s="1830"/>
      <c r="AQ284" s="1830"/>
      <c r="AR284" s="1830"/>
      <c r="AS284" s="1830"/>
      <c r="AT284" s="1830"/>
      <c r="AU284" s="1830"/>
      <c r="AV284" s="1830"/>
      <c r="AW284" s="1830"/>
      <c r="AX284" s="1830"/>
      <c r="AY284" s="1830"/>
      <c r="AZ284" s="1830"/>
      <c r="BA284" s="1830"/>
      <c r="BB284" s="1830"/>
      <c r="BC284" s="1830"/>
      <c r="BD284" s="1830"/>
      <c r="BE284" s="1830"/>
      <c r="BF284" s="1830"/>
      <c r="BG284" s="1643"/>
    </row>
    <row customHeight="1" ht="11.25">
      <c r="A285" s="1174" t="s">
        <v>1040</v>
      </c>
      <c r="B285" s="1174"/>
      <c r="C285" s="1174"/>
      <c r="D285" s="1168"/>
      <c r="E285" s="1178"/>
      <c r="F285" s="1836"/>
      <c r="G285" s="1837"/>
      <c r="H285" s="2536" t="s">
        <v>1187</v>
      </c>
      <c r="I285" s="2537"/>
      <c r="J285" s="2506"/>
      <c r="K285" s="2538"/>
      <c r="L285" s="2128"/>
      <c r="M285" s="2129"/>
      <c r="N285" s="2529"/>
      <c r="O285" s="2530">
        <v>1</v>
      </c>
      <c r="P285" s="2531" t="s">
        <v>61</v>
      </c>
      <c r="Q285" s="2735" t="s">
        <v>1079</v>
      </c>
      <c r="R285" s="2736" t="s">
        <v>1080</v>
      </c>
      <c r="S285" s="2736" t="s">
        <v>99</v>
      </c>
      <c r="T285" s="2736" t="s">
        <v>99</v>
      </c>
      <c r="U285" s="2736" t="s">
        <v>100</v>
      </c>
      <c r="V285" s="2736" t="s">
        <v>1081</v>
      </c>
      <c r="W285" s="2736" t="s">
        <v>1082</v>
      </c>
      <c r="X285" s="2736" t="s">
        <v>1083</v>
      </c>
      <c r="Y285" s="2736" t="s">
        <v>1084</v>
      </c>
      <c r="Z285" s="1183"/>
      <c r="AA285" s="1184"/>
      <c r="AB285" s="1184"/>
      <c r="AC285" s="1188"/>
      <c r="AD285" s="1188"/>
      <c r="AE285" s="1189"/>
      <c r="AF285" s="2527"/>
      <c r="AG285" s="2528"/>
      <c r="AH285" s="2528"/>
      <c r="AI285" s="2734"/>
      <c r="AJ285" s="2528"/>
      <c r="AK285" s="2528"/>
      <c r="AL285" s="1993"/>
      <c r="AM285" s="1830"/>
      <c r="AN285" s="1830"/>
      <c r="AO285" s="1830"/>
      <c r="AP285" s="1830"/>
      <c r="AQ285" s="1830"/>
      <c r="AR285" s="1830"/>
      <c r="AS285" s="1830"/>
      <c r="AT285" s="1830"/>
      <c r="AU285" s="1830"/>
      <c r="AV285" s="1830"/>
      <c r="AW285" s="1830"/>
      <c r="AX285" s="1830"/>
      <c r="AY285" s="1830"/>
      <c r="AZ285" s="1830"/>
      <c r="BA285" s="1830"/>
      <c r="BB285" s="1830"/>
      <c r="BC285" s="1830"/>
      <c r="BD285" s="1830"/>
      <c r="BE285" s="1830"/>
      <c r="BF285" s="1830"/>
      <c r="BG285" s="1643"/>
    </row>
    <row customHeight="1" ht="11.25">
      <c r="A286" s="1174" t="s">
        <v>1040</v>
      </c>
      <c r="B286" s="1174"/>
      <c r="C286" s="1174"/>
      <c r="D286" s="1168"/>
      <c r="E286" s="1178"/>
      <c r="F286" s="1836"/>
      <c r="G286" s="1837"/>
      <c r="H286" s="2536" t="s">
        <v>1187</v>
      </c>
      <c r="I286" s="2537"/>
      <c r="J286" s="2506"/>
      <c r="K286" s="2538"/>
      <c r="L286" s="2128"/>
      <c r="M286" s="2129"/>
      <c r="N286" s="2529"/>
      <c r="O286" s="2530"/>
      <c r="P286" s="2532"/>
      <c r="Q286" s="2735"/>
      <c r="R286" s="2534"/>
      <c r="S286" s="2535"/>
      <c r="T286" s="2534"/>
      <c r="U286" s="2534"/>
      <c r="V286" s="2534"/>
      <c r="W286" s="2534"/>
      <c r="X286" s="2534"/>
      <c r="Y286" s="2534"/>
      <c r="Z286" s="1835"/>
      <c r="AA286" s="1801">
        <v>1</v>
      </c>
      <c r="AB286" s="1187" t="s">
        <v>1114</v>
      </c>
      <c r="AC286" s="1177">
        <v>7517.29</v>
      </c>
      <c r="AD286" s="1187" t="str">
        <f>AB286</f>
        <v>  За счет платы за технологическое присоединение</v>
      </c>
      <c r="AE286" s="1177">
        <v>0</v>
      </c>
      <c r="AF286" s="2527"/>
      <c r="AG286" s="2528"/>
      <c r="AH286" s="2528"/>
      <c r="AI286" s="2734"/>
      <c r="AJ286" s="2528"/>
      <c r="AK286" s="2528"/>
      <c r="AL286" s="1993"/>
      <c r="AM286" s="1830"/>
      <c r="AN286" s="1830"/>
      <c r="AO286" s="1830"/>
      <c r="AP286" s="1830"/>
      <c r="AQ286" s="1830"/>
      <c r="AR286" s="1830"/>
      <c r="AS286" s="1830"/>
      <c r="AT286" s="1830"/>
      <c r="AU286" s="1830"/>
      <c r="AV286" s="1830"/>
      <c r="AW286" s="1830"/>
      <c r="AX286" s="1830"/>
      <c r="AY286" s="1830"/>
      <c r="AZ286" s="1830"/>
      <c r="BA286" s="1830"/>
      <c r="BB286" s="1830"/>
      <c r="BC286" s="1830"/>
      <c r="BD286" s="1830"/>
      <c r="BE286" s="1830"/>
      <c r="BF286" s="1830"/>
      <c r="BG286" s="1643"/>
    </row>
    <row customHeight="1" ht="11.25">
      <c r="A287" s="1174" t="s">
        <v>1040</v>
      </c>
      <c r="B287" s="1174"/>
      <c r="C287" s="1174"/>
      <c r="D287" s="1168"/>
      <c r="E287" s="1178"/>
      <c r="F287" s="1837"/>
      <c r="G287" s="1837"/>
      <c r="H287" s="1837"/>
      <c r="I287" s="1837"/>
      <c r="J287" s="1837"/>
      <c r="K287" s="1837"/>
      <c r="L287" s="1837"/>
      <c r="M287" s="1837"/>
      <c r="N287" s="1837"/>
      <c r="O287" s="1837"/>
      <c r="P287" s="1837"/>
      <c r="Q287" s="1837"/>
      <c r="R287" s="1837"/>
      <c r="S287" s="1837"/>
      <c r="T287" s="1837"/>
      <c r="U287" s="1837"/>
      <c r="V287" s="1837"/>
      <c r="W287" s="1837"/>
      <c r="X287" s="1837"/>
      <c r="Y287" s="1837"/>
      <c r="Z287" s="691" t="s">
        <v>103</v>
      </c>
      <c r="AA287" s="1821" t="s">
        <v>102</v>
      </c>
      <c r="AB287" s="1187" t="s">
        <v>1085</v>
      </c>
      <c r="AC287" s="1177">
        <v>1503.46</v>
      </c>
      <c r="AD287" s="1187" t="str">
        <f>AB287</f>
        <v>  Прочие собственные средства</v>
      </c>
      <c r="AE287" s="1177">
        <v>0</v>
      </c>
      <c r="AF287" s="2094"/>
      <c r="AG287" s="1766"/>
      <c r="AH287" s="1766"/>
      <c r="AI287" s="2740"/>
      <c r="AJ287" s="1766"/>
      <c r="AK287" s="1992"/>
      <c r="AL287" s="1993"/>
      <c r="AM287" s="1830"/>
      <c r="AN287" s="1830"/>
      <c r="AO287" s="1830"/>
      <c r="AP287" s="1830"/>
      <c r="AQ287" s="1830"/>
      <c r="AR287" s="1830"/>
      <c r="AS287" s="1830"/>
      <c r="AT287" s="1830"/>
      <c r="AU287" s="1830"/>
      <c r="AV287" s="1830"/>
      <c r="AW287" s="1830"/>
      <c r="AX287" s="1830"/>
      <c r="AY287" s="1830"/>
      <c r="AZ287" s="1830"/>
      <c r="BA287" s="1830"/>
      <c r="BB287" s="1830"/>
      <c r="BC287" s="1830"/>
      <c r="BD287" s="1830"/>
      <c r="BE287" s="1830"/>
      <c r="BF287" s="1830"/>
      <c r="BG287" s="1643"/>
    </row>
    <row customHeight="1" ht="11.25">
      <c r="A288" s="1174" t="s">
        <v>1040</v>
      </c>
      <c r="B288" s="1174"/>
      <c r="C288" s="1174"/>
      <c r="D288" s="1168"/>
      <c r="E288" s="1178"/>
      <c r="F288" s="1836"/>
      <c r="G288" s="1837"/>
      <c r="H288" s="2536" t="s">
        <v>1187</v>
      </c>
      <c r="I288" s="2537"/>
      <c r="J288" s="2506"/>
      <c r="K288" s="2538"/>
      <c r="L288" s="2128"/>
      <c r="M288" s="2129"/>
      <c r="N288" s="2529"/>
      <c r="O288" s="2530"/>
      <c r="P288" s="2533"/>
      <c r="Q288" s="2735"/>
      <c r="R288" s="2534"/>
      <c r="S288" s="2535"/>
      <c r="T288" s="2534"/>
      <c r="U288" s="2534"/>
      <c r="V288" s="2534"/>
      <c r="W288" s="2534"/>
      <c r="X288" s="2534"/>
      <c r="Y288" s="2534"/>
      <c r="Z288" s="1183"/>
      <c r="AA288" s="1184"/>
      <c r="AB288" s="1249" t="s">
        <v>1086</v>
      </c>
      <c r="AC288" s="1188"/>
      <c r="AD288" s="1188"/>
      <c r="AE288" s="1190"/>
      <c r="AF288" s="2527"/>
      <c r="AG288" s="2528"/>
      <c r="AH288" s="2528"/>
      <c r="AI288" s="2734"/>
      <c r="AJ288" s="2528"/>
      <c r="AK288" s="2528"/>
      <c r="AL288" s="1993"/>
      <c r="AM288" s="1830"/>
      <c r="AN288" s="1830"/>
      <c r="AO288" s="1830"/>
      <c r="AP288" s="1830"/>
      <c r="AQ288" s="1830"/>
      <c r="AR288" s="1830"/>
      <c r="AS288" s="1830"/>
      <c r="AT288" s="1830"/>
      <c r="AU288" s="1830"/>
      <c r="AV288" s="1830"/>
      <c r="AW288" s="1830"/>
      <c r="AX288" s="1830"/>
      <c r="AY288" s="1830"/>
      <c r="AZ288" s="1830"/>
      <c r="BA288" s="1830"/>
      <c r="BB288" s="1830"/>
      <c r="BC288" s="1830"/>
      <c r="BD288" s="1830"/>
      <c r="BE288" s="1830"/>
      <c r="BF288" s="1830"/>
      <c r="BG288" s="1643"/>
    </row>
    <row customHeight="1" ht="11.25">
      <c r="A289" s="1174" t="s">
        <v>1040</v>
      </c>
      <c r="B289" s="1174"/>
      <c r="C289" s="1174"/>
      <c r="D289" s="1168"/>
      <c r="E289" s="1178"/>
      <c r="F289" s="1836"/>
      <c r="G289" s="1837"/>
      <c r="H289" s="2536" t="s">
        <v>1187</v>
      </c>
      <c r="I289" s="2537"/>
      <c r="J289" s="2506"/>
      <c r="K289" s="2538"/>
      <c r="L289" s="2128"/>
      <c r="M289" s="2129"/>
      <c r="N289" s="1183"/>
      <c r="O289" s="1184"/>
      <c r="P289" s="1176" t="s">
        <v>1087</v>
      </c>
      <c r="Q289" s="1184"/>
      <c r="R289" s="1184"/>
      <c r="S289" s="1184"/>
      <c r="T289" s="1184"/>
      <c r="U289" s="1184"/>
      <c r="V289" s="1184"/>
      <c r="W289" s="1184"/>
      <c r="X289" s="1184"/>
      <c r="Y289" s="1184"/>
      <c r="Z289" s="1184"/>
      <c r="AA289" s="1184"/>
      <c r="AB289" s="1184"/>
      <c r="AC289" s="1184"/>
      <c r="AD289" s="1184"/>
      <c r="AE289" s="1191"/>
      <c r="AF289" s="2527"/>
      <c r="AG289" s="2528"/>
      <c r="AH289" s="2528"/>
      <c r="AI289" s="2734"/>
      <c r="AJ289" s="2528"/>
      <c r="AK289" s="2528"/>
      <c r="AL289" s="1993"/>
      <c r="AM289" s="1830"/>
      <c r="AN289" s="1830"/>
      <c r="AO289" s="1830"/>
      <c r="AP289" s="1830"/>
      <c r="AQ289" s="1830"/>
      <c r="AR289" s="1830"/>
      <c r="AS289" s="1830"/>
      <c r="AT289" s="1830"/>
      <c r="AU289" s="1830"/>
      <c r="AV289" s="1830"/>
      <c r="AW289" s="1830"/>
      <c r="AX289" s="1830"/>
      <c r="AY289" s="1830"/>
      <c r="AZ289" s="1830"/>
      <c r="BA289" s="1830"/>
      <c r="BB289" s="1830"/>
      <c r="BC289" s="1830"/>
      <c r="BD289" s="1830"/>
      <c r="BE289" s="1830"/>
      <c r="BF289" s="1830"/>
      <c r="BG289" s="1643"/>
    </row>
    <row customHeight="1" ht="11.25">
      <c r="A290" s="1174" t="s">
        <v>1040</v>
      </c>
      <c r="B290" s="1174" t="s">
        <v>1119</v>
      </c>
      <c r="C290" s="1174"/>
      <c r="D290" s="1168"/>
      <c r="E290" s="1178"/>
      <c r="F290" s="1836"/>
      <c r="G290" s="691" t="s">
        <v>103</v>
      </c>
      <c r="H290" s="2536" t="s">
        <v>1191</v>
      </c>
      <c r="I290" s="2537" t="s">
        <v>1121</v>
      </c>
      <c r="J290" s="2506" t="s">
        <v>1125</v>
      </c>
      <c r="K290" s="2538" t="s">
        <v>1192</v>
      </c>
      <c r="L290" s="2128" t="s">
        <v>19</v>
      </c>
      <c r="M290" s="2129"/>
      <c r="N290" s="1991"/>
      <c r="O290" s="1185" t="s">
        <v>393</v>
      </c>
      <c r="P290" s="1186"/>
      <c r="Q290" s="1186"/>
      <c r="R290" s="1186"/>
      <c r="S290" s="1186"/>
      <c r="T290" s="1186"/>
      <c r="U290" s="1186"/>
      <c r="V290" s="1186"/>
      <c r="W290" s="1186"/>
      <c r="X290" s="1186"/>
      <c r="Y290" s="1186"/>
      <c r="Z290" s="1186"/>
      <c r="AA290" s="1186"/>
      <c r="AB290" s="1186"/>
      <c r="AC290" s="1186"/>
      <c r="AD290" s="1186"/>
      <c r="AE290" s="1186"/>
      <c r="AF290" s="2527">
        <v>1</v>
      </c>
      <c r="AG290" s="2528" t="s">
        <v>1076</v>
      </c>
      <c r="AH290" s="2528" t="s">
        <v>1091</v>
      </c>
      <c r="AI290" s="2527">
        <v>1</v>
      </c>
      <c r="AJ290" s="2528" t="s">
        <v>1100</v>
      </c>
      <c r="AK290" s="2528" t="s">
        <v>1091</v>
      </c>
      <c r="AL290" s="1993"/>
      <c r="AM290" s="1830"/>
      <c r="AN290" s="1830"/>
      <c r="AO290" s="1830"/>
      <c r="AP290" s="1830"/>
      <c r="AQ290" s="1830"/>
      <c r="AR290" s="1830"/>
      <c r="AS290" s="1830"/>
      <c r="AT290" s="1830"/>
      <c r="AU290" s="1830"/>
      <c r="AV290" s="1830"/>
      <c r="AW290" s="1830"/>
      <c r="AX290" s="1830"/>
      <c r="AY290" s="1830"/>
      <c r="AZ290" s="1830"/>
      <c r="BA290" s="1830"/>
      <c r="BB290" s="1830"/>
      <c r="BC290" s="1830"/>
      <c r="BD290" s="1830"/>
      <c r="BE290" s="1830"/>
      <c r="BF290" s="1830"/>
      <c r="BG290" s="1643"/>
    </row>
    <row customHeight="1" ht="11.25">
      <c r="A291" s="1174" t="s">
        <v>1040</v>
      </c>
      <c r="B291" s="1174"/>
      <c r="C291" s="1174"/>
      <c r="D291" s="1168"/>
      <c r="E291" s="1178"/>
      <c r="F291" s="1836"/>
      <c r="G291" s="1837"/>
      <c r="H291" s="2536" t="s">
        <v>1189</v>
      </c>
      <c r="I291" s="2537"/>
      <c r="J291" s="2506"/>
      <c r="K291" s="2538"/>
      <c r="L291" s="2128"/>
      <c r="M291" s="2129"/>
      <c r="N291" s="2529"/>
      <c r="O291" s="2530">
        <v>1</v>
      </c>
      <c r="P291" s="2531" t="s">
        <v>61</v>
      </c>
      <c r="Q291" s="2735" t="s">
        <v>1079</v>
      </c>
      <c r="R291" s="2736" t="s">
        <v>1080</v>
      </c>
      <c r="S291" s="2736" t="s">
        <v>99</v>
      </c>
      <c r="T291" s="2736" t="s">
        <v>99</v>
      </c>
      <c r="U291" s="2736" t="s">
        <v>100</v>
      </c>
      <c r="V291" s="2736" t="s">
        <v>1081</v>
      </c>
      <c r="W291" s="2736" t="s">
        <v>1082</v>
      </c>
      <c r="X291" s="2736" t="s">
        <v>1083</v>
      </c>
      <c r="Y291" s="2736" t="s">
        <v>1084</v>
      </c>
      <c r="Z291" s="1183"/>
      <c r="AA291" s="1184"/>
      <c r="AB291" s="1184"/>
      <c r="AC291" s="1188"/>
      <c r="AD291" s="1188"/>
      <c r="AE291" s="1189"/>
      <c r="AF291" s="2527"/>
      <c r="AG291" s="2528"/>
      <c r="AH291" s="2528"/>
      <c r="AI291" s="2527"/>
      <c r="AJ291" s="2528"/>
      <c r="AK291" s="2528"/>
      <c r="AL291" s="1993"/>
      <c r="AM291" s="1830"/>
      <c r="AN291" s="1830"/>
      <c r="AO291" s="1830"/>
      <c r="AP291" s="1830"/>
      <c r="AQ291" s="1830"/>
      <c r="AR291" s="1830"/>
      <c r="AS291" s="1830"/>
      <c r="AT291" s="1830"/>
      <c r="AU291" s="1830"/>
      <c r="AV291" s="1830"/>
      <c r="AW291" s="1830"/>
      <c r="AX291" s="1830"/>
      <c r="AY291" s="1830"/>
      <c r="AZ291" s="1830"/>
      <c r="BA291" s="1830"/>
      <c r="BB291" s="1830"/>
      <c r="BC291" s="1830"/>
      <c r="BD291" s="1830"/>
      <c r="BE291" s="1830"/>
      <c r="BF291" s="1830"/>
      <c r="BG291" s="1643"/>
    </row>
    <row customHeight="1" ht="11.25">
      <c r="A292" s="1174" t="s">
        <v>1040</v>
      </c>
      <c r="B292" s="1174"/>
      <c r="C292" s="1174"/>
      <c r="D292" s="1168"/>
      <c r="E292" s="1178"/>
      <c r="F292" s="1836"/>
      <c r="G292" s="1837"/>
      <c r="H292" s="2536" t="s">
        <v>1189</v>
      </c>
      <c r="I292" s="2537"/>
      <c r="J292" s="2506"/>
      <c r="K292" s="2538"/>
      <c r="L292" s="2128"/>
      <c r="M292" s="2129"/>
      <c r="N292" s="2529"/>
      <c r="O292" s="2530"/>
      <c r="P292" s="2532"/>
      <c r="Q292" s="2735"/>
      <c r="R292" s="2534"/>
      <c r="S292" s="2535"/>
      <c r="T292" s="2534"/>
      <c r="U292" s="2534"/>
      <c r="V292" s="2534"/>
      <c r="W292" s="2534"/>
      <c r="X292" s="2534"/>
      <c r="Y292" s="2534"/>
      <c r="Z292" s="1835"/>
      <c r="AA292" s="1801">
        <v>1</v>
      </c>
      <c r="AB292" s="1187" t="s">
        <v>1114</v>
      </c>
      <c r="AC292" s="1177">
        <v>4633.97</v>
      </c>
      <c r="AD292" s="1187" t="str">
        <f>AB292</f>
        <v>  За счет платы за технологическое присоединение</v>
      </c>
      <c r="AE292" s="1177">
        <v>3553.3819</v>
      </c>
      <c r="AF292" s="2527"/>
      <c r="AG292" s="2528"/>
      <c r="AH292" s="2528"/>
      <c r="AI292" s="2527"/>
      <c r="AJ292" s="2528"/>
      <c r="AK292" s="2528"/>
      <c r="AL292" s="1993"/>
      <c r="AM292" s="1830"/>
      <c r="AN292" s="1830"/>
      <c r="AO292" s="1830"/>
      <c r="AP292" s="1830"/>
      <c r="AQ292" s="1830"/>
      <c r="AR292" s="1830"/>
      <c r="AS292" s="1830"/>
      <c r="AT292" s="1830"/>
      <c r="AU292" s="1830"/>
      <c r="AV292" s="1830"/>
      <c r="AW292" s="1830"/>
      <c r="AX292" s="1830"/>
      <c r="AY292" s="1830"/>
      <c r="AZ292" s="1830"/>
      <c r="BA292" s="1830"/>
      <c r="BB292" s="1830"/>
      <c r="BC292" s="1830"/>
      <c r="BD292" s="1830"/>
      <c r="BE292" s="1830"/>
      <c r="BF292" s="1830"/>
      <c r="BG292" s="1643"/>
    </row>
    <row customHeight="1" ht="11.25">
      <c r="A293" s="1174" t="s">
        <v>1040</v>
      </c>
      <c r="B293" s="1174"/>
      <c r="C293" s="1174"/>
      <c r="D293" s="1168"/>
      <c r="E293" s="1178"/>
      <c r="F293" s="1837"/>
      <c r="G293" s="1837"/>
      <c r="H293" s="1837"/>
      <c r="I293" s="1837"/>
      <c r="J293" s="1837"/>
      <c r="K293" s="1837"/>
      <c r="L293" s="1837"/>
      <c r="M293" s="1837"/>
      <c r="N293" s="1837"/>
      <c r="O293" s="1837"/>
      <c r="P293" s="1837"/>
      <c r="Q293" s="1837"/>
      <c r="R293" s="1837"/>
      <c r="S293" s="1837"/>
      <c r="T293" s="1837"/>
      <c r="U293" s="1837"/>
      <c r="V293" s="1837"/>
      <c r="W293" s="1837"/>
      <c r="X293" s="1837"/>
      <c r="Y293" s="1837"/>
      <c r="Z293" s="691" t="s">
        <v>103</v>
      </c>
      <c r="AA293" s="1821" t="s">
        <v>102</v>
      </c>
      <c r="AB293" s="1187" t="s">
        <v>1085</v>
      </c>
      <c r="AC293" s="1177">
        <v>926.79</v>
      </c>
      <c r="AD293" s="1187" t="str">
        <f>AB293</f>
        <v>  Прочие собственные средства</v>
      </c>
      <c r="AE293" s="1177">
        <v>710.67638</v>
      </c>
      <c r="AF293" s="2094"/>
      <c r="AG293" s="1766"/>
      <c r="AH293" s="1766"/>
      <c r="AI293" s="2094"/>
      <c r="AJ293" s="1766"/>
      <c r="AK293" s="1992"/>
      <c r="AL293" s="1993"/>
      <c r="AM293" s="1830"/>
      <c r="AN293" s="1830"/>
      <c r="AO293" s="1830"/>
      <c r="AP293" s="1830"/>
      <c r="AQ293" s="1830"/>
      <c r="AR293" s="1830"/>
      <c r="AS293" s="1830"/>
      <c r="AT293" s="1830"/>
      <c r="AU293" s="1830"/>
      <c r="AV293" s="1830"/>
      <c r="AW293" s="1830"/>
      <c r="AX293" s="1830"/>
      <c r="AY293" s="1830"/>
      <c r="AZ293" s="1830"/>
      <c r="BA293" s="1830"/>
      <c r="BB293" s="1830"/>
      <c r="BC293" s="1830"/>
      <c r="BD293" s="1830"/>
      <c r="BE293" s="1830"/>
      <c r="BF293" s="1830"/>
      <c r="BG293" s="1643"/>
    </row>
    <row customHeight="1" ht="11.25">
      <c r="A294" s="1174" t="s">
        <v>1040</v>
      </c>
      <c r="B294" s="1174"/>
      <c r="C294" s="1174"/>
      <c r="D294" s="1168"/>
      <c r="E294" s="1178"/>
      <c r="F294" s="1836"/>
      <c r="G294" s="1837"/>
      <c r="H294" s="2536" t="s">
        <v>1189</v>
      </c>
      <c r="I294" s="2537"/>
      <c r="J294" s="2506"/>
      <c r="K294" s="2538"/>
      <c r="L294" s="2128"/>
      <c r="M294" s="2129"/>
      <c r="N294" s="2529"/>
      <c r="O294" s="2530"/>
      <c r="P294" s="2533"/>
      <c r="Q294" s="2735"/>
      <c r="R294" s="2534"/>
      <c r="S294" s="2535"/>
      <c r="T294" s="2534"/>
      <c r="U294" s="2534"/>
      <c r="V294" s="2534"/>
      <c r="W294" s="2534"/>
      <c r="X294" s="2534"/>
      <c r="Y294" s="2534"/>
      <c r="Z294" s="1183"/>
      <c r="AA294" s="1184"/>
      <c r="AB294" s="1249" t="s">
        <v>1086</v>
      </c>
      <c r="AC294" s="1188"/>
      <c r="AD294" s="1188"/>
      <c r="AE294" s="1190"/>
      <c r="AF294" s="2527"/>
      <c r="AG294" s="2528"/>
      <c r="AH294" s="2528"/>
      <c r="AI294" s="2527"/>
      <c r="AJ294" s="2528"/>
      <c r="AK294" s="2528"/>
      <c r="AL294" s="1993"/>
      <c r="AM294" s="1830"/>
      <c r="AN294" s="1830"/>
      <c r="AO294" s="1830"/>
      <c r="AP294" s="1830"/>
      <c r="AQ294" s="1830"/>
      <c r="AR294" s="1830"/>
      <c r="AS294" s="1830"/>
      <c r="AT294" s="1830"/>
      <c r="AU294" s="1830"/>
      <c r="AV294" s="1830"/>
      <c r="AW294" s="1830"/>
      <c r="AX294" s="1830"/>
      <c r="AY294" s="1830"/>
      <c r="AZ294" s="1830"/>
      <c r="BA294" s="1830"/>
      <c r="BB294" s="1830"/>
      <c r="BC294" s="1830"/>
      <c r="BD294" s="1830"/>
      <c r="BE294" s="1830"/>
      <c r="BF294" s="1830"/>
      <c r="BG294" s="1643"/>
    </row>
    <row customHeight="1" ht="11.25">
      <c r="A295" s="1174" t="s">
        <v>1040</v>
      </c>
      <c r="B295" s="1174"/>
      <c r="C295" s="1174"/>
      <c r="D295" s="1168"/>
      <c r="E295" s="1178"/>
      <c r="F295" s="1836"/>
      <c r="G295" s="1837"/>
      <c r="H295" s="2536" t="s">
        <v>1189</v>
      </c>
      <c r="I295" s="2537"/>
      <c r="J295" s="2506"/>
      <c r="K295" s="2538"/>
      <c r="L295" s="2128"/>
      <c r="M295" s="2129"/>
      <c r="N295" s="1183"/>
      <c r="O295" s="1184"/>
      <c r="P295" s="1176" t="s">
        <v>1087</v>
      </c>
      <c r="Q295" s="1184"/>
      <c r="R295" s="1184"/>
      <c r="S295" s="1184"/>
      <c r="T295" s="1184"/>
      <c r="U295" s="1184"/>
      <c r="V295" s="1184"/>
      <c r="W295" s="1184"/>
      <c r="X295" s="1184"/>
      <c r="Y295" s="1184"/>
      <c r="Z295" s="1184"/>
      <c r="AA295" s="1184"/>
      <c r="AB295" s="1184"/>
      <c r="AC295" s="1184"/>
      <c r="AD295" s="1184"/>
      <c r="AE295" s="1191"/>
      <c r="AF295" s="2527"/>
      <c r="AG295" s="2528"/>
      <c r="AH295" s="2528"/>
      <c r="AI295" s="2527"/>
      <c r="AJ295" s="2528"/>
      <c r="AK295" s="2528"/>
      <c r="AL295" s="1993"/>
      <c r="AM295" s="1830"/>
      <c r="AN295" s="1830"/>
      <c r="AO295" s="1830"/>
      <c r="AP295" s="1830"/>
      <c r="AQ295" s="1830"/>
      <c r="AR295" s="1830"/>
      <c r="AS295" s="1830"/>
      <c r="AT295" s="1830"/>
      <c r="AU295" s="1830"/>
      <c r="AV295" s="1830"/>
      <c r="AW295" s="1830"/>
      <c r="AX295" s="1830"/>
      <c r="AY295" s="1830"/>
      <c r="AZ295" s="1830"/>
      <c r="BA295" s="1830"/>
      <c r="BB295" s="1830"/>
      <c r="BC295" s="1830"/>
      <c r="BD295" s="1830"/>
      <c r="BE295" s="1830"/>
      <c r="BF295" s="1830"/>
      <c r="BG295" s="1643"/>
    </row>
    <row customHeight="1" ht="11.25">
      <c r="A296" s="1174" t="s">
        <v>1040</v>
      </c>
      <c r="B296" s="1174" t="s">
        <v>1119</v>
      </c>
      <c r="C296" s="1174"/>
      <c r="D296" s="1168"/>
      <c r="E296" s="1178"/>
      <c r="F296" s="1836"/>
      <c r="G296" s="691" t="s">
        <v>103</v>
      </c>
      <c r="H296" s="2536" t="s">
        <v>1193</v>
      </c>
      <c r="I296" s="2537" t="s">
        <v>1121</v>
      </c>
      <c r="J296" s="2506" t="s">
        <v>1125</v>
      </c>
      <c r="K296" s="2538" t="s">
        <v>1194</v>
      </c>
      <c r="L296" s="2128" t="s">
        <v>19</v>
      </c>
      <c r="M296" s="2129"/>
      <c r="N296" s="1991"/>
      <c r="O296" s="1185" t="s">
        <v>393</v>
      </c>
      <c r="P296" s="1186"/>
      <c r="Q296" s="1186"/>
      <c r="R296" s="1186"/>
      <c r="S296" s="1186"/>
      <c r="T296" s="1186"/>
      <c r="U296" s="1186"/>
      <c r="V296" s="1186"/>
      <c r="W296" s="1186"/>
      <c r="X296" s="1186"/>
      <c r="Y296" s="1186"/>
      <c r="Z296" s="1186"/>
      <c r="AA296" s="1186"/>
      <c r="AB296" s="1186"/>
      <c r="AC296" s="1186"/>
      <c r="AD296" s="1186"/>
      <c r="AE296" s="1186"/>
      <c r="AF296" s="2527">
        <v>1</v>
      </c>
      <c r="AG296" s="2528" t="s">
        <v>1076</v>
      </c>
      <c r="AH296" s="2528" t="s">
        <v>1091</v>
      </c>
      <c r="AI296" s="2527">
        <v>1</v>
      </c>
      <c r="AJ296" s="2528" t="s">
        <v>1100</v>
      </c>
      <c r="AK296" s="2528" t="s">
        <v>1091</v>
      </c>
      <c r="AL296" s="1993"/>
      <c r="AM296" s="1830"/>
      <c r="AN296" s="1830"/>
      <c r="AO296" s="1830"/>
      <c r="AP296" s="1830"/>
      <c r="AQ296" s="1830"/>
      <c r="AR296" s="1830"/>
      <c r="AS296" s="1830"/>
      <c r="AT296" s="1830"/>
      <c r="AU296" s="1830"/>
      <c r="AV296" s="1830"/>
      <c r="AW296" s="1830"/>
      <c r="AX296" s="1830"/>
      <c r="AY296" s="1830"/>
      <c r="AZ296" s="1830"/>
      <c r="BA296" s="1830"/>
      <c r="BB296" s="1830"/>
      <c r="BC296" s="1830"/>
      <c r="BD296" s="1830"/>
      <c r="BE296" s="1830"/>
      <c r="BF296" s="1830"/>
      <c r="BG296" s="1643"/>
    </row>
    <row customHeight="1" ht="11.25">
      <c r="A297" s="1174" t="s">
        <v>1040</v>
      </c>
      <c r="B297" s="1174"/>
      <c r="C297" s="1174"/>
      <c r="D297" s="1168"/>
      <c r="E297" s="1178"/>
      <c r="F297" s="1836"/>
      <c r="G297" s="1837"/>
      <c r="H297" s="2536" t="s">
        <v>1191</v>
      </c>
      <c r="I297" s="2537"/>
      <c r="J297" s="2506"/>
      <c r="K297" s="2538"/>
      <c r="L297" s="2128"/>
      <c r="M297" s="2129"/>
      <c r="N297" s="2529"/>
      <c r="O297" s="2530">
        <v>1</v>
      </c>
      <c r="P297" s="2531" t="s">
        <v>61</v>
      </c>
      <c r="Q297" s="2735" t="s">
        <v>1079</v>
      </c>
      <c r="R297" s="2736" t="s">
        <v>1080</v>
      </c>
      <c r="S297" s="2736" t="s">
        <v>99</v>
      </c>
      <c r="T297" s="2736" t="s">
        <v>99</v>
      </c>
      <c r="U297" s="2736" t="s">
        <v>100</v>
      </c>
      <c r="V297" s="2736" t="s">
        <v>1081</v>
      </c>
      <c r="W297" s="2736" t="s">
        <v>1082</v>
      </c>
      <c r="X297" s="2736" t="s">
        <v>1083</v>
      </c>
      <c r="Y297" s="2736" t="s">
        <v>1084</v>
      </c>
      <c r="Z297" s="1183"/>
      <c r="AA297" s="1184"/>
      <c r="AB297" s="1184"/>
      <c r="AC297" s="1188"/>
      <c r="AD297" s="1188"/>
      <c r="AE297" s="1189"/>
      <c r="AF297" s="2527"/>
      <c r="AG297" s="2528"/>
      <c r="AH297" s="2528"/>
      <c r="AI297" s="2527"/>
      <c r="AJ297" s="2528"/>
      <c r="AK297" s="2528"/>
      <c r="AL297" s="1993"/>
      <c r="AM297" s="1830"/>
      <c r="AN297" s="1830"/>
      <c r="AO297" s="1830"/>
      <c r="AP297" s="1830"/>
      <c r="AQ297" s="1830"/>
      <c r="AR297" s="1830"/>
      <c r="AS297" s="1830"/>
      <c r="AT297" s="1830"/>
      <c r="AU297" s="1830"/>
      <c r="AV297" s="1830"/>
      <c r="AW297" s="1830"/>
      <c r="AX297" s="1830"/>
      <c r="AY297" s="1830"/>
      <c r="AZ297" s="1830"/>
      <c r="BA297" s="1830"/>
      <c r="BB297" s="1830"/>
      <c r="BC297" s="1830"/>
      <c r="BD297" s="1830"/>
      <c r="BE297" s="1830"/>
      <c r="BF297" s="1830"/>
      <c r="BG297" s="1643"/>
    </row>
    <row customHeight="1" ht="11.25">
      <c r="A298" s="1174" t="s">
        <v>1040</v>
      </c>
      <c r="B298" s="1174"/>
      <c r="C298" s="1174"/>
      <c r="D298" s="1168"/>
      <c r="E298" s="1178"/>
      <c r="F298" s="1836"/>
      <c r="G298" s="1837"/>
      <c r="H298" s="2536" t="s">
        <v>1191</v>
      </c>
      <c r="I298" s="2537"/>
      <c r="J298" s="2506"/>
      <c r="K298" s="2538"/>
      <c r="L298" s="2128"/>
      <c r="M298" s="2129"/>
      <c r="N298" s="2529"/>
      <c r="O298" s="2530"/>
      <c r="P298" s="2532"/>
      <c r="Q298" s="2735"/>
      <c r="R298" s="2534"/>
      <c r="S298" s="2535"/>
      <c r="T298" s="2534"/>
      <c r="U298" s="2534"/>
      <c r="V298" s="2534"/>
      <c r="W298" s="2534"/>
      <c r="X298" s="2534"/>
      <c r="Y298" s="2534"/>
      <c r="Z298" s="1835"/>
      <c r="AA298" s="1801">
        <v>1</v>
      </c>
      <c r="AB298" s="1187" t="s">
        <v>1114</v>
      </c>
      <c r="AC298" s="1177">
        <v>2380.52</v>
      </c>
      <c r="AD298" s="1187" t="str">
        <f>AB298</f>
        <v>  За счет платы за технологическое присоединение</v>
      </c>
      <c r="AE298" s="1177">
        <v>2024.5792</v>
      </c>
      <c r="AF298" s="2527"/>
      <c r="AG298" s="2528"/>
      <c r="AH298" s="2528"/>
      <c r="AI298" s="2527"/>
      <c r="AJ298" s="2528"/>
      <c r="AK298" s="2528"/>
      <c r="AL298" s="1993"/>
      <c r="AM298" s="1830"/>
      <c r="AN298" s="1830"/>
      <c r="AO298" s="1830"/>
      <c r="AP298" s="1830"/>
      <c r="AQ298" s="1830"/>
      <c r="AR298" s="1830"/>
      <c r="AS298" s="1830"/>
      <c r="AT298" s="1830"/>
      <c r="AU298" s="1830"/>
      <c r="AV298" s="1830"/>
      <c r="AW298" s="1830"/>
      <c r="AX298" s="1830"/>
      <c r="AY298" s="1830"/>
      <c r="AZ298" s="1830"/>
      <c r="BA298" s="1830"/>
      <c r="BB298" s="1830"/>
      <c r="BC298" s="1830"/>
      <c r="BD298" s="1830"/>
      <c r="BE298" s="1830"/>
      <c r="BF298" s="1830"/>
      <c r="BG298" s="1643"/>
    </row>
    <row customHeight="1" ht="11.25">
      <c r="A299" s="1174" t="s">
        <v>1040</v>
      </c>
      <c r="B299" s="1174"/>
      <c r="C299" s="1174"/>
      <c r="D299" s="1168"/>
      <c r="E299" s="1178"/>
      <c r="F299" s="1837"/>
      <c r="G299" s="1837"/>
      <c r="H299" s="1837"/>
      <c r="I299" s="1837"/>
      <c r="J299" s="1837"/>
      <c r="K299" s="1837"/>
      <c r="L299" s="1837"/>
      <c r="M299" s="1837"/>
      <c r="N299" s="1837"/>
      <c r="O299" s="1837"/>
      <c r="P299" s="1837"/>
      <c r="Q299" s="1837"/>
      <c r="R299" s="1837"/>
      <c r="S299" s="1837"/>
      <c r="T299" s="1837"/>
      <c r="U299" s="1837"/>
      <c r="V299" s="1837"/>
      <c r="W299" s="1837"/>
      <c r="X299" s="1837"/>
      <c r="Y299" s="1837"/>
      <c r="Z299" s="691" t="s">
        <v>103</v>
      </c>
      <c r="AA299" s="1821" t="s">
        <v>102</v>
      </c>
      <c r="AB299" s="1187" t="s">
        <v>1085</v>
      </c>
      <c r="AC299" s="1177">
        <v>476.1</v>
      </c>
      <c r="AD299" s="1187" t="str">
        <f>AB299</f>
        <v>  Прочие собственные средства</v>
      </c>
      <c r="AE299" s="1177">
        <v>404.91584</v>
      </c>
      <c r="AF299" s="2094"/>
      <c r="AG299" s="1766"/>
      <c r="AH299" s="1766"/>
      <c r="AI299" s="2094"/>
      <c r="AJ299" s="1766"/>
      <c r="AK299" s="1992"/>
      <c r="AL299" s="1993"/>
      <c r="AM299" s="1830"/>
      <c r="AN299" s="1830"/>
      <c r="AO299" s="1830"/>
      <c r="AP299" s="1830"/>
      <c r="AQ299" s="1830"/>
      <c r="AR299" s="1830"/>
      <c r="AS299" s="1830"/>
      <c r="AT299" s="1830"/>
      <c r="AU299" s="1830"/>
      <c r="AV299" s="1830"/>
      <c r="AW299" s="1830"/>
      <c r="AX299" s="1830"/>
      <c r="AY299" s="1830"/>
      <c r="AZ299" s="1830"/>
      <c r="BA299" s="1830"/>
      <c r="BB299" s="1830"/>
      <c r="BC299" s="1830"/>
      <c r="BD299" s="1830"/>
      <c r="BE299" s="1830"/>
      <c r="BF299" s="1830"/>
      <c r="BG299" s="1643"/>
    </row>
    <row customHeight="1" ht="11.25">
      <c r="A300" s="1174" t="s">
        <v>1040</v>
      </c>
      <c r="B300" s="1174"/>
      <c r="C300" s="1174"/>
      <c r="D300" s="1168"/>
      <c r="E300" s="1178"/>
      <c r="F300" s="1836"/>
      <c r="G300" s="1837"/>
      <c r="H300" s="2536" t="s">
        <v>1191</v>
      </c>
      <c r="I300" s="2537"/>
      <c r="J300" s="2506"/>
      <c r="K300" s="2538"/>
      <c r="L300" s="2128"/>
      <c r="M300" s="2129"/>
      <c r="N300" s="2529"/>
      <c r="O300" s="2530"/>
      <c r="P300" s="2533"/>
      <c r="Q300" s="2735"/>
      <c r="R300" s="2534"/>
      <c r="S300" s="2535"/>
      <c r="T300" s="2534"/>
      <c r="U300" s="2534"/>
      <c r="V300" s="2534"/>
      <c r="W300" s="2534"/>
      <c r="X300" s="2534"/>
      <c r="Y300" s="2534"/>
      <c r="Z300" s="1183"/>
      <c r="AA300" s="1184"/>
      <c r="AB300" s="1249" t="s">
        <v>1086</v>
      </c>
      <c r="AC300" s="1188"/>
      <c r="AD300" s="1188"/>
      <c r="AE300" s="1190"/>
      <c r="AF300" s="2527"/>
      <c r="AG300" s="2528"/>
      <c r="AH300" s="2528"/>
      <c r="AI300" s="2527"/>
      <c r="AJ300" s="2528"/>
      <c r="AK300" s="2528"/>
      <c r="AL300" s="1993"/>
      <c r="AM300" s="1830"/>
      <c r="AN300" s="1830"/>
      <c r="AO300" s="1830"/>
      <c r="AP300" s="1830"/>
      <c r="AQ300" s="1830"/>
      <c r="AR300" s="1830"/>
      <c r="AS300" s="1830"/>
      <c r="AT300" s="1830"/>
      <c r="AU300" s="1830"/>
      <c r="AV300" s="1830"/>
      <c r="AW300" s="1830"/>
      <c r="AX300" s="1830"/>
      <c r="AY300" s="1830"/>
      <c r="AZ300" s="1830"/>
      <c r="BA300" s="1830"/>
      <c r="BB300" s="1830"/>
      <c r="BC300" s="1830"/>
      <c r="BD300" s="1830"/>
      <c r="BE300" s="1830"/>
      <c r="BF300" s="1830"/>
      <c r="BG300" s="1643"/>
    </row>
    <row customHeight="1" ht="11.25">
      <c r="A301" s="1174" t="s">
        <v>1040</v>
      </c>
      <c r="B301" s="1174"/>
      <c r="C301" s="1174"/>
      <c r="D301" s="1168"/>
      <c r="E301" s="1178"/>
      <c r="F301" s="1836"/>
      <c r="G301" s="1837"/>
      <c r="H301" s="2536" t="s">
        <v>1191</v>
      </c>
      <c r="I301" s="2537"/>
      <c r="J301" s="2506"/>
      <c r="K301" s="2538"/>
      <c r="L301" s="2128"/>
      <c r="M301" s="2129"/>
      <c r="N301" s="1183"/>
      <c r="O301" s="1184"/>
      <c r="P301" s="1176" t="s">
        <v>1087</v>
      </c>
      <c r="Q301" s="1184"/>
      <c r="R301" s="1184"/>
      <c r="S301" s="1184"/>
      <c r="T301" s="1184"/>
      <c r="U301" s="1184"/>
      <c r="V301" s="1184"/>
      <c r="W301" s="1184"/>
      <c r="X301" s="1184"/>
      <c r="Y301" s="1184"/>
      <c r="Z301" s="1184"/>
      <c r="AA301" s="1184"/>
      <c r="AB301" s="1184"/>
      <c r="AC301" s="1184"/>
      <c r="AD301" s="1184"/>
      <c r="AE301" s="1191"/>
      <c r="AF301" s="2527"/>
      <c r="AG301" s="2528"/>
      <c r="AH301" s="2528"/>
      <c r="AI301" s="2527"/>
      <c r="AJ301" s="2528"/>
      <c r="AK301" s="2528"/>
      <c r="AL301" s="1993"/>
      <c r="AM301" s="1830"/>
      <c r="AN301" s="1830"/>
      <c r="AO301" s="1830"/>
      <c r="AP301" s="1830"/>
      <c r="AQ301" s="1830"/>
      <c r="AR301" s="1830"/>
      <c r="AS301" s="1830"/>
      <c r="AT301" s="1830"/>
      <c r="AU301" s="1830"/>
      <c r="AV301" s="1830"/>
      <c r="AW301" s="1830"/>
      <c r="AX301" s="1830"/>
      <c r="AY301" s="1830"/>
      <c r="AZ301" s="1830"/>
      <c r="BA301" s="1830"/>
      <c r="BB301" s="1830"/>
      <c r="BC301" s="1830"/>
      <c r="BD301" s="1830"/>
      <c r="BE301" s="1830"/>
      <c r="BF301" s="1830"/>
      <c r="BG301" s="1643"/>
    </row>
    <row customHeight="1" ht="11.25">
      <c r="A302" s="1174" t="s">
        <v>1040</v>
      </c>
      <c r="B302" s="1174" t="s">
        <v>1119</v>
      </c>
      <c r="C302" s="1174"/>
      <c r="D302" s="1168"/>
      <c r="E302" s="1178"/>
      <c r="F302" s="1836"/>
      <c r="G302" s="691" t="s">
        <v>103</v>
      </c>
      <c r="H302" s="2536" t="s">
        <v>1195</v>
      </c>
      <c r="I302" s="2537" t="s">
        <v>1121</v>
      </c>
      <c r="J302" s="2506" t="s">
        <v>1125</v>
      </c>
      <c r="K302" s="2538" t="s">
        <v>1196</v>
      </c>
      <c r="L302" s="2128" t="s">
        <v>19</v>
      </c>
      <c r="M302" s="2129"/>
      <c r="N302" s="1991"/>
      <c r="O302" s="1185" t="s">
        <v>393</v>
      </c>
      <c r="P302" s="1186"/>
      <c r="Q302" s="1186"/>
      <c r="R302" s="1186"/>
      <c r="S302" s="1186"/>
      <c r="T302" s="1186"/>
      <c r="U302" s="1186"/>
      <c r="V302" s="1186"/>
      <c r="W302" s="1186"/>
      <c r="X302" s="1186"/>
      <c r="Y302" s="1186"/>
      <c r="Z302" s="1186"/>
      <c r="AA302" s="1186"/>
      <c r="AB302" s="1186"/>
      <c r="AC302" s="1186"/>
      <c r="AD302" s="1186"/>
      <c r="AE302" s="1186"/>
      <c r="AF302" s="2527">
        <v>1</v>
      </c>
      <c r="AG302" s="2528" t="s">
        <v>1076</v>
      </c>
      <c r="AH302" s="2528" t="s">
        <v>1091</v>
      </c>
      <c r="AI302" s="2527">
        <v>1</v>
      </c>
      <c r="AJ302" s="2528" t="s">
        <v>1092</v>
      </c>
      <c r="AK302" s="2528" t="s">
        <v>1091</v>
      </c>
      <c r="AL302" s="1993"/>
      <c r="AM302" s="1830"/>
      <c r="AN302" s="1830"/>
      <c r="AO302" s="1830"/>
      <c r="AP302" s="1830"/>
      <c r="AQ302" s="1830"/>
      <c r="AR302" s="1830"/>
      <c r="AS302" s="1830"/>
      <c r="AT302" s="1830"/>
      <c r="AU302" s="1830"/>
      <c r="AV302" s="1830"/>
      <c r="AW302" s="1830"/>
      <c r="AX302" s="1830"/>
      <c r="AY302" s="1830"/>
      <c r="AZ302" s="1830"/>
      <c r="BA302" s="1830"/>
      <c r="BB302" s="1830"/>
      <c r="BC302" s="1830"/>
      <c r="BD302" s="1830"/>
      <c r="BE302" s="1830"/>
      <c r="BF302" s="1830"/>
      <c r="BG302" s="1643"/>
    </row>
    <row customHeight="1" ht="11.25">
      <c r="A303" s="1174" t="s">
        <v>1040</v>
      </c>
      <c r="B303" s="1174"/>
      <c r="C303" s="1174"/>
      <c r="D303" s="1168"/>
      <c r="E303" s="1178"/>
      <c r="F303" s="1836"/>
      <c r="G303" s="1837"/>
      <c r="H303" s="2536" t="s">
        <v>1193</v>
      </c>
      <c r="I303" s="2537"/>
      <c r="J303" s="2506"/>
      <c r="K303" s="2538"/>
      <c r="L303" s="2128"/>
      <c r="M303" s="2129"/>
      <c r="N303" s="2529"/>
      <c r="O303" s="2530">
        <v>1</v>
      </c>
      <c r="P303" s="2531" t="s">
        <v>61</v>
      </c>
      <c r="Q303" s="2735" t="s">
        <v>1079</v>
      </c>
      <c r="R303" s="2736" t="s">
        <v>1080</v>
      </c>
      <c r="S303" s="2736" t="s">
        <v>99</v>
      </c>
      <c r="T303" s="2736" t="s">
        <v>99</v>
      </c>
      <c r="U303" s="2736" t="s">
        <v>100</v>
      </c>
      <c r="V303" s="2736" t="s">
        <v>1081</v>
      </c>
      <c r="W303" s="2736" t="s">
        <v>1082</v>
      </c>
      <c r="X303" s="2736" t="s">
        <v>1083</v>
      </c>
      <c r="Y303" s="2736" t="s">
        <v>1084</v>
      </c>
      <c r="Z303" s="1183"/>
      <c r="AA303" s="1184"/>
      <c r="AB303" s="1184"/>
      <c r="AC303" s="1188"/>
      <c r="AD303" s="1188"/>
      <c r="AE303" s="1189"/>
      <c r="AF303" s="2527"/>
      <c r="AG303" s="2528"/>
      <c r="AH303" s="2528"/>
      <c r="AI303" s="2527"/>
      <c r="AJ303" s="2528"/>
      <c r="AK303" s="2528"/>
      <c r="AL303" s="1993"/>
      <c r="AM303" s="1830"/>
      <c r="AN303" s="1830"/>
      <c r="AO303" s="1830"/>
      <c r="AP303" s="1830"/>
      <c r="AQ303" s="1830"/>
      <c r="AR303" s="1830"/>
      <c r="AS303" s="1830"/>
      <c r="AT303" s="1830"/>
      <c r="AU303" s="1830"/>
      <c r="AV303" s="1830"/>
      <c r="AW303" s="1830"/>
      <c r="AX303" s="1830"/>
      <c r="AY303" s="1830"/>
      <c r="AZ303" s="1830"/>
      <c r="BA303" s="1830"/>
      <c r="BB303" s="1830"/>
      <c r="BC303" s="1830"/>
      <c r="BD303" s="1830"/>
      <c r="BE303" s="1830"/>
      <c r="BF303" s="1830"/>
      <c r="BG303" s="1643"/>
    </row>
    <row customHeight="1" ht="11.25">
      <c r="A304" s="1174" t="s">
        <v>1040</v>
      </c>
      <c r="B304" s="1174"/>
      <c r="C304" s="1174"/>
      <c r="D304" s="1168"/>
      <c r="E304" s="1178"/>
      <c r="F304" s="1836"/>
      <c r="G304" s="1837"/>
      <c r="H304" s="2536" t="s">
        <v>1193</v>
      </c>
      <c r="I304" s="2537"/>
      <c r="J304" s="2506"/>
      <c r="K304" s="2538"/>
      <c r="L304" s="2128"/>
      <c r="M304" s="2129"/>
      <c r="N304" s="2529"/>
      <c r="O304" s="2530"/>
      <c r="P304" s="2532"/>
      <c r="Q304" s="2735"/>
      <c r="R304" s="2534"/>
      <c r="S304" s="2535"/>
      <c r="T304" s="2534"/>
      <c r="U304" s="2534"/>
      <c r="V304" s="2534"/>
      <c r="W304" s="2534"/>
      <c r="X304" s="2534"/>
      <c r="Y304" s="2534"/>
      <c r="Z304" s="1835"/>
      <c r="AA304" s="1801">
        <v>1</v>
      </c>
      <c r="AB304" s="1187" t="s">
        <v>1114</v>
      </c>
      <c r="AC304" s="1177">
        <v>1839.49</v>
      </c>
      <c r="AD304" s="1187" t="str">
        <f>AB304</f>
        <v>  За счет платы за технологическое присоединение</v>
      </c>
      <c r="AE304" s="1177">
        <v>1747.51241</v>
      </c>
      <c r="AF304" s="2527"/>
      <c r="AG304" s="2528"/>
      <c r="AH304" s="2528"/>
      <c r="AI304" s="2527"/>
      <c r="AJ304" s="2528"/>
      <c r="AK304" s="2528"/>
      <c r="AL304" s="1993"/>
      <c r="AM304" s="1830"/>
      <c r="AN304" s="1830"/>
      <c r="AO304" s="1830"/>
      <c r="AP304" s="1830"/>
      <c r="AQ304" s="1830"/>
      <c r="AR304" s="1830"/>
      <c r="AS304" s="1830"/>
      <c r="AT304" s="1830"/>
      <c r="AU304" s="1830"/>
      <c r="AV304" s="1830"/>
      <c r="AW304" s="1830"/>
      <c r="AX304" s="1830"/>
      <c r="AY304" s="1830"/>
      <c r="AZ304" s="1830"/>
      <c r="BA304" s="1830"/>
      <c r="BB304" s="1830"/>
      <c r="BC304" s="1830"/>
      <c r="BD304" s="1830"/>
      <c r="BE304" s="1830"/>
      <c r="BF304" s="1830"/>
      <c r="BG304" s="1643"/>
    </row>
    <row customHeight="1" ht="11.25">
      <c r="A305" s="1174" t="s">
        <v>1040</v>
      </c>
      <c r="B305" s="1174"/>
      <c r="C305" s="1174"/>
      <c r="D305" s="1168"/>
      <c r="E305" s="1178"/>
      <c r="F305" s="1837"/>
      <c r="G305" s="1837"/>
      <c r="H305" s="1837"/>
      <c r="I305" s="1837"/>
      <c r="J305" s="1837"/>
      <c r="K305" s="1837"/>
      <c r="L305" s="1837"/>
      <c r="M305" s="1837"/>
      <c r="N305" s="1837"/>
      <c r="O305" s="1837"/>
      <c r="P305" s="1837"/>
      <c r="Q305" s="1837"/>
      <c r="R305" s="1837"/>
      <c r="S305" s="1837"/>
      <c r="T305" s="1837"/>
      <c r="U305" s="1837"/>
      <c r="V305" s="1837"/>
      <c r="W305" s="1837"/>
      <c r="X305" s="1837"/>
      <c r="Y305" s="1837"/>
      <c r="Z305" s="691" t="s">
        <v>103</v>
      </c>
      <c r="AA305" s="1821" t="s">
        <v>102</v>
      </c>
      <c r="AB305" s="1187" t="s">
        <v>1085</v>
      </c>
      <c r="AC305" s="1177">
        <v>367.9</v>
      </c>
      <c r="AD305" s="1187" t="str">
        <f>AB305</f>
        <v>  Прочие собственные средства</v>
      </c>
      <c r="AE305" s="1177">
        <v>349.50248</v>
      </c>
      <c r="AF305" s="2094"/>
      <c r="AG305" s="1766"/>
      <c r="AH305" s="1766"/>
      <c r="AI305" s="2094"/>
      <c r="AJ305" s="1766"/>
      <c r="AK305" s="1992"/>
      <c r="AL305" s="1993"/>
      <c r="AM305" s="1830"/>
      <c r="AN305" s="1830"/>
      <c r="AO305" s="1830"/>
      <c r="AP305" s="1830"/>
      <c r="AQ305" s="1830"/>
      <c r="AR305" s="1830"/>
      <c r="AS305" s="1830"/>
      <c r="AT305" s="1830"/>
      <c r="AU305" s="1830"/>
      <c r="AV305" s="1830"/>
      <c r="AW305" s="1830"/>
      <c r="AX305" s="1830"/>
      <c r="AY305" s="1830"/>
      <c r="AZ305" s="1830"/>
      <c r="BA305" s="1830"/>
      <c r="BB305" s="1830"/>
      <c r="BC305" s="1830"/>
      <c r="BD305" s="1830"/>
      <c r="BE305" s="1830"/>
      <c r="BF305" s="1830"/>
      <c r="BG305" s="1643"/>
    </row>
    <row customHeight="1" ht="11.25">
      <c r="A306" s="1174" t="s">
        <v>1040</v>
      </c>
      <c r="B306" s="1174"/>
      <c r="C306" s="1174"/>
      <c r="D306" s="1168"/>
      <c r="E306" s="1178"/>
      <c r="F306" s="1836"/>
      <c r="G306" s="1837"/>
      <c r="H306" s="2536" t="s">
        <v>1193</v>
      </c>
      <c r="I306" s="2537"/>
      <c r="J306" s="2506"/>
      <c r="K306" s="2538"/>
      <c r="L306" s="2128"/>
      <c r="M306" s="2129"/>
      <c r="N306" s="2529"/>
      <c r="O306" s="2530"/>
      <c r="P306" s="2533"/>
      <c r="Q306" s="2735"/>
      <c r="R306" s="2534"/>
      <c r="S306" s="2535"/>
      <c r="T306" s="2534"/>
      <c r="U306" s="2534"/>
      <c r="V306" s="2534"/>
      <c r="W306" s="2534"/>
      <c r="X306" s="2534"/>
      <c r="Y306" s="2534"/>
      <c r="Z306" s="1183"/>
      <c r="AA306" s="1184"/>
      <c r="AB306" s="1249" t="s">
        <v>1086</v>
      </c>
      <c r="AC306" s="1188"/>
      <c r="AD306" s="1188"/>
      <c r="AE306" s="1190"/>
      <c r="AF306" s="2527"/>
      <c r="AG306" s="2528"/>
      <c r="AH306" s="2528"/>
      <c r="AI306" s="2527"/>
      <c r="AJ306" s="2528"/>
      <c r="AK306" s="2528"/>
      <c r="AL306" s="1993"/>
      <c r="AM306" s="1830"/>
      <c r="AN306" s="1830"/>
      <c r="AO306" s="1830"/>
      <c r="AP306" s="1830"/>
      <c r="AQ306" s="1830"/>
      <c r="AR306" s="1830"/>
      <c r="AS306" s="1830"/>
      <c r="AT306" s="1830"/>
      <c r="AU306" s="1830"/>
      <c r="AV306" s="1830"/>
      <c r="AW306" s="1830"/>
      <c r="AX306" s="1830"/>
      <c r="AY306" s="1830"/>
      <c r="AZ306" s="1830"/>
      <c r="BA306" s="1830"/>
      <c r="BB306" s="1830"/>
      <c r="BC306" s="1830"/>
      <c r="BD306" s="1830"/>
      <c r="BE306" s="1830"/>
      <c r="BF306" s="1830"/>
      <c r="BG306" s="1643"/>
    </row>
    <row customHeight="1" ht="11.25">
      <c r="A307" s="1174" t="s">
        <v>1040</v>
      </c>
      <c r="B307" s="1174"/>
      <c r="C307" s="1174"/>
      <c r="D307" s="1168"/>
      <c r="E307" s="1178"/>
      <c r="F307" s="1836"/>
      <c r="G307" s="1837"/>
      <c r="H307" s="2536" t="s">
        <v>1193</v>
      </c>
      <c r="I307" s="2537"/>
      <c r="J307" s="2506"/>
      <c r="K307" s="2538"/>
      <c r="L307" s="2128"/>
      <c r="M307" s="2129"/>
      <c r="N307" s="1183"/>
      <c r="O307" s="1184"/>
      <c r="P307" s="1176" t="s">
        <v>1087</v>
      </c>
      <c r="Q307" s="1184"/>
      <c r="R307" s="1184"/>
      <c r="S307" s="1184"/>
      <c r="T307" s="1184"/>
      <c r="U307" s="1184"/>
      <c r="V307" s="1184"/>
      <c r="W307" s="1184"/>
      <c r="X307" s="1184"/>
      <c r="Y307" s="1184"/>
      <c r="Z307" s="1184"/>
      <c r="AA307" s="1184"/>
      <c r="AB307" s="1184"/>
      <c r="AC307" s="1184"/>
      <c r="AD307" s="1184"/>
      <c r="AE307" s="1191"/>
      <c r="AF307" s="2527"/>
      <c r="AG307" s="2528"/>
      <c r="AH307" s="2528"/>
      <c r="AI307" s="2527"/>
      <c r="AJ307" s="2528"/>
      <c r="AK307" s="2528"/>
      <c r="AL307" s="1993"/>
      <c r="AM307" s="1830"/>
      <c r="AN307" s="1830"/>
      <c r="AO307" s="1830"/>
      <c r="AP307" s="1830"/>
      <c r="AQ307" s="1830"/>
      <c r="AR307" s="1830"/>
      <c r="AS307" s="1830"/>
      <c r="AT307" s="1830"/>
      <c r="AU307" s="1830"/>
      <c r="AV307" s="1830"/>
      <c r="AW307" s="1830"/>
      <c r="AX307" s="1830"/>
      <c r="AY307" s="1830"/>
      <c r="AZ307" s="1830"/>
      <c r="BA307" s="1830"/>
      <c r="BB307" s="1830"/>
      <c r="BC307" s="1830"/>
      <c r="BD307" s="1830"/>
      <c r="BE307" s="1830"/>
      <c r="BF307" s="1830"/>
      <c r="BG307" s="1643"/>
    </row>
    <row customHeight="1" ht="11.25">
      <c r="A308" s="1174" t="s">
        <v>1040</v>
      </c>
      <c r="B308" s="1174" t="s">
        <v>1119</v>
      </c>
      <c r="C308" s="1174"/>
      <c r="D308" s="1168"/>
      <c r="E308" s="1178"/>
      <c r="F308" s="1836"/>
      <c r="G308" s="691" t="s">
        <v>103</v>
      </c>
      <c r="H308" s="2536" t="s">
        <v>1197</v>
      </c>
      <c r="I308" s="2537" t="s">
        <v>1121</v>
      </c>
      <c r="J308" s="2506" t="s">
        <v>1125</v>
      </c>
      <c r="K308" s="2538" t="s">
        <v>1198</v>
      </c>
      <c r="L308" s="2128" t="s">
        <v>19</v>
      </c>
      <c r="M308" s="2129"/>
      <c r="N308" s="1991"/>
      <c r="O308" s="1185" t="s">
        <v>393</v>
      </c>
      <c r="P308" s="1186"/>
      <c r="Q308" s="1186"/>
      <c r="R308" s="1186"/>
      <c r="S308" s="1186"/>
      <c r="T308" s="1186"/>
      <c r="U308" s="1186"/>
      <c r="V308" s="1186"/>
      <c r="W308" s="1186"/>
      <c r="X308" s="1186"/>
      <c r="Y308" s="1186"/>
      <c r="Z308" s="1186"/>
      <c r="AA308" s="1186"/>
      <c r="AB308" s="1186"/>
      <c r="AC308" s="1186"/>
      <c r="AD308" s="1186"/>
      <c r="AE308" s="1186"/>
      <c r="AF308" s="2527">
        <v>1</v>
      </c>
      <c r="AG308" s="2528" t="s">
        <v>1076</v>
      </c>
      <c r="AH308" s="2528" t="s">
        <v>1091</v>
      </c>
      <c r="AI308" s="2734"/>
      <c r="AJ308" s="2528" t="s">
        <v>1132</v>
      </c>
      <c r="AK308" s="2528" t="s">
        <v>1132</v>
      </c>
      <c r="AL308" s="1993"/>
      <c r="AM308" s="1830"/>
      <c r="AN308" s="1830"/>
      <c r="AO308" s="1830"/>
      <c r="AP308" s="1830"/>
      <c r="AQ308" s="1830"/>
      <c r="AR308" s="1830"/>
      <c r="AS308" s="1830"/>
      <c r="AT308" s="1830"/>
      <c r="AU308" s="1830"/>
      <c r="AV308" s="1830"/>
      <c r="AW308" s="1830"/>
      <c r="AX308" s="1830"/>
      <c r="AY308" s="1830"/>
      <c r="AZ308" s="1830"/>
      <c r="BA308" s="1830"/>
      <c r="BB308" s="1830"/>
      <c r="BC308" s="1830"/>
      <c r="BD308" s="1830"/>
      <c r="BE308" s="1830"/>
      <c r="BF308" s="1830"/>
      <c r="BG308" s="1643"/>
    </row>
    <row customHeight="1" ht="11.25">
      <c r="A309" s="1174" t="s">
        <v>1040</v>
      </c>
      <c r="B309" s="1174"/>
      <c r="C309" s="1174"/>
      <c r="D309" s="1168"/>
      <c r="E309" s="1178"/>
      <c r="F309" s="1836"/>
      <c r="G309" s="1837"/>
      <c r="H309" s="2536" t="s">
        <v>1195</v>
      </c>
      <c r="I309" s="2537"/>
      <c r="J309" s="2506"/>
      <c r="K309" s="2538"/>
      <c r="L309" s="2128"/>
      <c r="M309" s="2129"/>
      <c r="N309" s="2529"/>
      <c r="O309" s="2530">
        <v>1</v>
      </c>
      <c r="P309" s="2531" t="s">
        <v>61</v>
      </c>
      <c r="Q309" s="2735" t="s">
        <v>1079</v>
      </c>
      <c r="R309" s="2736" t="s">
        <v>1080</v>
      </c>
      <c r="S309" s="2736" t="s">
        <v>99</v>
      </c>
      <c r="T309" s="2736" t="s">
        <v>99</v>
      </c>
      <c r="U309" s="2736" t="s">
        <v>100</v>
      </c>
      <c r="V309" s="2736" t="s">
        <v>1081</v>
      </c>
      <c r="W309" s="2736" t="s">
        <v>1082</v>
      </c>
      <c r="X309" s="2736" t="s">
        <v>1083</v>
      </c>
      <c r="Y309" s="2736" t="s">
        <v>1084</v>
      </c>
      <c r="Z309" s="1183"/>
      <c r="AA309" s="1184"/>
      <c r="AB309" s="1184"/>
      <c r="AC309" s="1188"/>
      <c r="AD309" s="1188"/>
      <c r="AE309" s="1189"/>
      <c r="AF309" s="2527"/>
      <c r="AG309" s="2528"/>
      <c r="AH309" s="2528"/>
      <c r="AI309" s="2734"/>
      <c r="AJ309" s="2528"/>
      <c r="AK309" s="2528"/>
      <c r="AL309" s="1993"/>
      <c r="AM309" s="1830"/>
      <c r="AN309" s="1830"/>
      <c r="AO309" s="1830"/>
      <c r="AP309" s="1830"/>
      <c r="AQ309" s="1830"/>
      <c r="AR309" s="1830"/>
      <c r="AS309" s="1830"/>
      <c r="AT309" s="1830"/>
      <c r="AU309" s="1830"/>
      <c r="AV309" s="1830"/>
      <c r="AW309" s="1830"/>
      <c r="AX309" s="1830"/>
      <c r="AY309" s="1830"/>
      <c r="AZ309" s="1830"/>
      <c r="BA309" s="1830"/>
      <c r="BB309" s="1830"/>
      <c r="BC309" s="1830"/>
      <c r="BD309" s="1830"/>
      <c r="BE309" s="1830"/>
      <c r="BF309" s="1830"/>
      <c r="BG309" s="1643"/>
    </row>
    <row customHeight="1" ht="11.25">
      <c r="A310" s="1174" t="s">
        <v>1040</v>
      </c>
      <c r="B310" s="1174"/>
      <c r="C310" s="1174"/>
      <c r="D310" s="1168"/>
      <c r="E310" s="1178"/>
      <c r="F310" s="1836"/>
      <c r="G310" s="1837"/>
      <c r="H310" s="2536" t="s">
        <v>1195</v>
      </c>
      <c r="I310" s="2537"/>
      <c r="J310" s="2506"/>
      <c r="K310" s="2538"/>
      <c r="L310" s="2128"/>
      <c r="M310" s="2129"/>
      <c r="N310" s="2529"/>
      <c r="O310" s="2530"/>
      <c r="P310" s="2532"/>
      <c r="Q310" s="2735"/>
      <c r="R310" s="2534"/>
      <c r="S310" s="2535"/>
      <c r="T310" s="2534"/>
      <c r="U310" s="2534"/>
      <c r="V310" s="2534"/>
      <c r="W310" s="2534"/>
      <c r="X310" s="2534"/>
      <c r="Y310" s="2534"/>
      <c r="Z310" s="1835"/>
      <c r="AA310" s="1801">
        <v>1</v>
      </c>
      <c r="AB310" s="1187" t="s">
        <v>1114</v>
      </c>
      <c r="AC310" s="1177">
        <v>3809.52</v>
      </c>
      <c r="AD310" s="1187" t="str">
        <f>AB310</f>
        <v>  За счет платы за технологическое присоединение</v>
      </c>
      <c r="AE310" s="1177">
        <v>0</v>
      </c>
      <c r="AF310" s="2527"/>
      <c r="AG310" s="2528"/>
      <c r="AH310" s="2528"/>
      <c r="AI310" s="2734"/>
      <c r="AJ310" s="2528"/>
      <c r="AK310" s="2528"/>
      <c r="AL310" s="1993"/>
      <c r="AM310" s="1830"/>
      <c r="AN310" s="1830"/>
      <c r="AO310" s="1830"/>
      <c r="AP310" s="1830"/>
      <c r="AQ310" s="1830"/>
      <c r="AR310" s="1830"/>
      <c r="AS310" s="1830"/>
      <c r="AT310" s="1830"/>
      <c r="AU310" s="1830"/>
      <c r="AV310" s="1830"/>
      <c r="AW310" s="1830"/>
      <c r="AX310" s="1830"/>
      <c r="AY310" s="1830"/>
      <c r="AZ310" s="1830"/>
      <c r="BA310" s="1830"/>
      <c r="BB310" s="1830"/>
      <c r="BC310" s="1830"/>
      <c r="BD310" s="1830"/>
      <c r="BE310" s="1830"/>
      <c r="BF310" s="1830"/>
      <c r="BG310" s="1643"/>
    </row>
    <row customHeight="1" ht="11.25">
      <c r="A311" s="1174" t="s">
        <v>1040</v>
      </c>
      <c r="B311" s="1174"/>
      <c r="C311" s="1174"/>
      <c r="D311" s="1168"/>
      <c r="E311" s="1178"/>
      <c r="F311" s="1837"/>
      <c r="G311" s="1837"/>
      <c r="H311" s="1837"/>
      <c r="I311" s="1837"/>
      <c r="J311" s="1837"/>
      <c r="K311" s="1837"/>
      <c r="L311" s="1837"/>
      <c r="M311" s="1837"/>
      <c r="N311" s="1837"/>
      <c r="O311" s="1837"/>
      <c r="P311" s="1837"/>
      <c r="Q311" s="1837"/>
      <c r="R311" s="1837"/>
      <c r="S311" s="1837"/>
      <c r="T311" s="1837"/>
      <c r="U311" s="1837"/>
      <c r="V311" s="1837"/>
      <c r="W311" s="1837"/>
      <c r="X311" s="1837"/>
      <c r="Y311" s="1837"/>
      <c r="Z311" s="691" t="s">
        <v>103</v>
      </c>
      <c r="AA311" s="1821" t="s">
        <v>102</v>
      </c>
      <c r="AB311" s="1187" t="s">
        <v>1085</v>
      </c>
      <c r="AC311" s="1177">
        <v>761.9</v>
      </c>
      <c r="AD311" s="1187" t="str">
        <f>AB311</f>
        <v>  Прочие собственные средства</v>
      </c>
      <c r="AE311" s="1177">
        <v>0</v>
      </c>
      <c r="AF311" s="2094"/>
      <c r="AG311" s="1766"/>
      <c r="AH311" s="1766"/>
      <c r="AI311" s="2740"/>
      <c r="AJ311" s="1766"/>
      <c r="AK311" s="1992"/>
      <c r="AL311" s="1993"/>
      <c r="AM311" s="1830"/>
      <c r="AN311" s="1830"/>
      <c r="AO311" s="1830"/>
      <c r="AP311" s="1830"/>
      <c r="AQ311" s="1830"/>
      <c r="AR311" s="1830"/>
      <c r="AS311" s="1830"/>
      <c r="AT311" s="1830"/>
      <c r="AU311" s="1830"/>
      <c r="AV311" s="1830"/>
      <c r="AW311" s="1830"/>
      <c r="AX311" s="1830"/>
      <c r="AY311" s="1830"/>
      <c r="AZ311" s="1830"/>
      <c r="BA311" s="1830"/>
      <c r="BB311" s="1830"/>
      <c r="BC311" s="1830"/>
      <c r="BD311" s="1830"/>
      <c r="BE311" s="1830"/>
      <c r="BF311" s="1830"/>
      <c r="BG311" s="1643"/>
    </row>
    <row customHeight="1" ht="11.25">
      <c r="A312" s="1174" t="s">
        <v>1040</v>
      </c>
      <c r="B312" s="1174"/>
      <c r="C312" s="1174"/>
      <c r="D312" s="1168"/>
      <c r="E312" s="1178"/>
      <c r="F312" s="1836"/>
      <c r="G312" s="1837"/>
      <c r="H312" s="2536" t="s">
        <v>1195</v>
      </c>
      <c r="I312" s="2537"/>
      <c r="J312" s="2506"/>
      <c r="K312" s="2538"/>
      <c r="L312" s="2128"/>
      <c r="M312" s="2129"/>
      <c r="N312" s="2529"/>
      <c r="O312" s="2530"/>
      <c r="P312" s="2533"/>
      <c r="Q312" s="2735"/>
      <c r="R312" s="2534"/>
      <c r="S312" s="2535"/>
      <c r="T312" s="2534"/>
      <c r="U312" s="2534"/>
      <c r="V312" s="2534"/>
      <c r="W312" s="2534"/>
      <c r="X312" s="2534"/>
      <c r="Y312" s="2534"/>
      <c r="Z312" s="1183"/>
      <c r="AA312" s="1184"/>
      <c r="AB312" s="1249" t="s">
        <v>1086</v>
      </c>
      <c r="AC312" s="1188"/>
      <c r="AD312" s="1188"/>
      <c r="AE312" s="1190"/>
      <c r="AF312" s="2527"/>
      <c r="AG312" s="2528"/>
      <c r="AH312" s="2528"/>
      <c r="AI312" s="2734"/>
      <c r="AJ312" s="2528"/>
      <c r="AK312" s="2528"/>
      <c r="AL312" s="1993"/>
      <c r="AM312" s="1830"/>
      <c r="AN312" s="1830"/>
      <c r="AO312" s="1830"/>
      <c r="AP312" s="1830"/>
      <c r="AQ312" s="1830"/>
      <c r="AR312" s="1830"/>
      <c r="AS312" s="1830"/>
      <c r="AT312" s="1830"/>
      <c r="AU312" s="1830"/>
      <c r="AV312" s="1830"/>
      <c r="AW312" s="1830"/>
      <c r="AX312" s="1830"/>
      <c r="AY312" s="1830"/>
      <c r="AZ312" s="1830"/>
      <c r="BA312" s="1830"/>
      <c r="BB312" s="1830"/>
      <c r="BC312" s="1830"/>
      <c r="BD312" s="1830"/>
      <c r="BE312" s="1830"/>
      <c r="BF312" s="1830"/>
      <c r="BG312" s="1643"/>
    </row>
    <row customHeight="1" ht="11.25">
      <c r="A313" s="1174" t="s">
        <v>1040</v>
      </c>
      <c r="B313" s="1174"/>
      <c r="C313" s="1174"/>
      <c r="D313" s="1168"/>
      <c r="E313" s="1178"/>
      <c r="F313" s="1836"/>
      <c r="G313" s="1837"/>
      <c r="H313" s="2536" t="s">
        <v>1195</v>
      </c>
      <c r="I313" s="2537"/>
      <c r="J313" s="2506"/>
      <c r="K313" s="2538"/>
      <c r="L313" s="2128"/>
      <c r="M313" s="2129"/>
      <c r="N313" s="1183"/>
      <c r="O313" s="1184"/>
      <c r="P313" s="1176" t="s">
        <v>1087</v>
      </c>
      <c r="Q313" s="1184"/>
      <c r="R313" s="1184"/>
      <c r="S313" s="1184"/>
      <c r="T313" s="1184"/>
      <c r="U313" s="1184"/>
      <c r="V313" s="1184"/>
      <c r="W313" s="1184"/>
      <c r="X313" s="1184"/>
      <c r="Y313" s="1184"/>
      <c r="Z313" s="1184"/>
      <c r="AA313" s="1184"/>
      <c r="AB313" s="1184"/>
      <c r="AC313" s="1184"/>
      <c r="AD313" s="1184"/>
      <c r="AE313" s="1191"/>
      <c r="AF313" s="2527"/>
      <c r="AG313" s="2528"/>
      <c r="AH313" s="2528"/>
      <c r="AI313" s="2734"/>
      <c r="AJ313" s="2528"/>
      <c r="AK313" s="2528"/>
      <c r="AL313" s="1993"/>
      <c r="AM313" s="1830"/>
      <c r="AN313" s="1830"/>
      <c r="AO313" s="1830"/>
      <c r="AP313" s="1830"/>
      <c r="AQ313" s="1830"/>
      <c r="AR313" s="1830"/>
      <c r="AS313" s="1830"/>
      <c r="AT313" s="1830"/>
      <c r="AU313" s="1830"/>
      <c r="AV313" s="1830"/>
      <c r="AW313" s="1830"/>
      <c r="AX313" s="1830"/>
      <c r="AY313" s="1830"/>
      <c r="AZ313" s="1830"/>
      <c r="BA313" s="1830"/>
      <c r="BB313" s="1830"/>
      <c r="BC313" s="1830"/>
      <c r="BD313" s="1830"/>
      <c r="BE313" s="1830"/>
      <c r="BF313" s="1830"/>
      <c r="BG313" s="1643"/>
    </row>
    <row customHeight="1" ht="11.25">
      <c r="A314" s="1174" t="s">
        <v>1040</v>
      </c>
      <c r="B314" s="1174" t="s">
        <v>1119</v>
      </c>
      <c r="C314" s="1174"/>
      <c r="D314" s="1168"/>
      <c r="E314" s="1178"/>
      <c r="F314" s="1836"/>
      <c r="G314" s="691" t="s">
        <v>103</v>
      </c>
      <c r="H314" s="2536" t="s">
        <v>1199</v>
      </c>
      <c r="I314" s="2537" t="s">
        <v>1121</v>
      </c>
      <c r="J314" s="2506" t="s">
        <v>1125</v>
      </c>
      <c r="K314" s="2538" t="s">
        <v>1200</v>
      </c>
      <c r="L314" s="2128" t="s">
        <v>19</v>
      </c>
      <c r="M314" s="2129"/>
      <c r="N314" s="1991"/>
      <c r="O314" s="1185" t="s">
        <v>393</v>
      </c>
      <c r="P314" s="1186"/>
      <c r="Q314" s="1186"/>
      <c r="R314" s="1186"/>
      <c r="S314" s="1186"/>
      <c r="T314" s="1186"/>
      <c r="U314" s="1186"/>
      <c r="V314" s="1186"/>
      <c r="W314" s="1186"/>
      <c r="X314" s="1186"/>
      <c r="Y314" s="1186"/>
      <c r="Z314" s="1186"/>
      <c r="AA314" s="1186"/>
      <c r="AB314" s="1186"/>
      <c r="AC314" s="1186"/>
      <c r="AD314" s="1186"/>
      <c r="AE314" s="1186"/>
      <c r="AF314" s="2527">
        <v>1</v>
      </c>
      <c r="AG314" s="2528" t="s">
        <v>1076</v>
      </c>
      <c r="AH314" s="2528" t="s">
        <v>1091</v>
      </c>
      <c r="AI314" s="2734"/>
      <c r="AJ314" s="2528" t="s">
        <v>1132</v>
      </c>
      <c r="AK314" s="2528" t="s">
        <v>1132</v>
      </c>
      <c r="AL314" s="1993"/>
      <c r="AM314" s="1830"/>
      <c r="AN314" s="1830"/>
      <c r="AO314" s="1830"/>
      <c r="AP314" s="1830"/>
      <c r="AQ314" s="1830"/>
      <c r="AR314" s="1830"/>
      <c r="AS314" s="1830"/>
      <c r="AT314" s="1830"/>
      <c r="AU314" s="1830"/>
      <c r="AV314" s="1830"/>
      <c r="AW314" s="1830"/>
      <c r="AX314" s="1830"/>
      <c r="AY314" s="1830"/>
      <c r="AZ314" s="1830"/>
      <c r="BA314" s="1830"/>
      <c r="BB314" s="1830"/>
      <c r="BC314" s="1830"/>
      <c r="BD314" s="1830"/>
      <c r="BE314" s="1830"/>
      <c r="BF314" s="1830"/>
      <c r="BG314" s="1643"/>
    </row>
    <row customHeight="1" ht="11.25">
      <c r="A315" s="1174" t="s">
        <v>1040</v>
      </c>
      <c r="B315" s="1174"/>
      <c r="C315" s="1174"/>
      <c r="D315" s="1168"/>
      <c r="E315" s="1178"/>
      <c r="F315" s="1836"/>
      <c r="G315" s="1837"/>
      <c r="H315" s="2536" t="s">
        <v>1197</v>
      </c>
      <c r="I315" s="2537"/>
      <c r="J315" s="2506"/>
      <c r="K315" s="2538"/>
      <c r="L315" s="2128"/>
      <c r="M315" s="2129"/>
      <c r="N315" s="2529"/>
      <c r="O315" s="2530">
        <v>1</v>
      </c>
      <c r="P315" s="2531" t="s">
        <v>61</v>
      </c>
      <c r="Q315" s="2735" t="s">
        <v>1079</v>
      </c>
      <c r="R315" s="2736" t="s">
        <v>1080</v>
      </c>
      <c r="S315" s="2736" t="s">
        <v>99</v>
      </c>
      <c r="T315" s="2736" t="s">
        <v>99</v>
      </c>
      <c r="U315" s="2736" t="s">
        <v>100</v>
      </c>
      <c r="V315" s="2736" t="s">
        <v>1081</v>
      </c>
      <c r="W315" s="2736" t="s">
        <v>1082</v>
      </c>
      <c r="X315" s="2736" t="s">
        <v>1083</v>
      </c>
      <c r="Y315" s="2736" t="s">
        <v>1084</v>
      </c>
      <c r="Z315" s="1183"/>
      <c r="AA315" s="1184"/>
      <c r="AB315" s="1184"/>
      <c r="AC315" s="1188"/>
      <c r="AD315" s="1188"/>
      <c r="AE315" s="1189"/>
      <c r="AF315" s="2527"/>
      <c r="AG315" s="2528"/>
      <c r="AH315" s="2528"/>
      <c r="AI315" s="2734"/>
      <c r="AJ315" s="2528"/>
      <c r="AK315" s="2528"/>
      <c r="AL315" s="1993"/>
      <c r="AM315" s="1830"/>
      <c r="AN315" s="1830"/>
      <c r="AO315" s="1830"/>
      <c r="AP315" s="1830"/>
      <c r="AQ315" s="1830"/>
      <c r="AR315" s="1830"/>
      <c r="AS315" s="1830"/>
      <c r="AT315" s="1830"/>
      <c r="AU315" s="1830"/>
      <c r="AV315" s="1830"/>
      <c r="AW315" s="1830"/>
      <c r="AX315" s="1830"/>
      <c r="AY315" s="1830"/>
      <c r="AZ315" s="1830"/>
      <c r="BA315" s="1830"/>
      <c r="BB315" s="1830"/>
      <c r="BC315" s="1830"/>
      <c r="BD315" s="1830"/>
      <c r="BE315" s="1830"/>
      <c r="BF315" s="1830"/>
      <c r="BG315" s="1643"/>
    </row>
    <row customHeight="1" ht="11.25">
      <c r="A316" s="1174" t="s">
        <v>1040</v>
      </c>
      <c r="B316" s="1174"/>
      <c r="C316" s="1174"/>
      <c r="D316" s="1168"/>
      <c r="E316" s="1178"/>
      <c r="F316" s="1836"/>
      <c r="G316" s="1837"/>
      <c r="H316" s="2536" t="s">
        <v>1197</v>
      </c>
      <c r="I316" s="2537"/>
      <c r="J316" s="2506"/>
      <c r="K316" s="2538"/>
      <c r="L316" s="2128"/>
      <c r="M316" s="2129"/>
      <c r="N316" s="2529"/>
      <c r="O316" s="2530"/>
      <c r="P316" s="2532"/>
      <c r="Q316" s="2735"/>
      <c r="R316" s="2534"/>
      <c r="S316" s="2535"/>
      <c r="T316" s="2534"/>
      <c r="U316" s="2534"/>
      <c r="V316" s="2534"/>
      <c r="W316" s="2534"/>
      <c r="X316" s="2534"/>
      <c r="Y316" s="2534"/>
      <c r="Z316" s="1835"/>
      <c r="AA316" s="1801">
        <v>1</v>
      </c>
      <c r="AB316" s="1187" t="s">
        <v>1114</v>
      </c>
      <c r="AC316" s="1177">
        <v>1896.95</v>
      </c>
      <c r="AD316" s="1187" t="str">
        <f>AB316</f>
        <v>  За счет платы за технологическое присоединение</v>
      </c>
      <c r="AE316" s="1177">
        <v>0</v>
      </c>
      <c r="AF316" s="2527"/>
      <c r="AG316" s="2528"/>
      <c r="AH316" s="2528"/>
      <c r="AI316" s="2734"/>
      <c r="AJ316" s="2528"/>
      <c r="AK316" s="2528"/>
      <c r="AL316" s="1993"/>
      <c r="AM316" s="1830"/>
      <c r="AN316" s="1830"/>
      <c r="AO316" s="1830"/>
      <c r="AP316" s="1830"/>
      <c r="AQ316" s="1830"/>
      <c r="AR316" s="1830"/>
      <c r="AS316" s="1830"/>
      <c r="AT316" s="1830"/>
      <c r="AU316" s="1830"/>
      <c r="AV316" s="1830"/>
      <c r="AW316" s="1830"/>
      <c r="AX316" s="1830"/>
      <c r="AY316" s="1830"/>
      <c r="AZ316" s="1830"/>
      <c r="BA316" s="1830"/>
      <c r="BB316" s="1830"/>
      <c r="BC316" s="1830"/>
      <c r="BD316" s="1830"/>
      <c r="BE316" s="1830"/>
      <c r="BF316" s="1830"/>
      <c r="BG316" s="1643"/>
    </row>
    <row customHeight="1" ht="11.25">
      <c r="A317" s="1174" t="s">
        <v>1040</v>
      </c>
      <c r="B317" s="1174"/>
      <c r="C317" s="1174"/>
      <c r="D317" s="1168"/>
      <c r="E317" s="1178"/>
      <c r="F317" s="1837"/>
      <c r="G317" s="1837"/>
      <c r="H317" s="1837"/>
      <c r="I317" s="1837"/>
      <c r="J317" s="1837"/>
      <c r="K317" s="1837"/>
      <c r="L317" s="1837"/>
      <c r="M317" s="1837"/>
      <c r="N317" s="1837"/>
      <c r="O317" s="1837"/>
      <c r="P317" s="1837"/>
      <c r="Q317" s="1837"/>
      <c r="R317" s="1837"/>
      <c r="S317" s="1837"/>
      <c r="T317" s="1837"/>
      <c r="U317" s="1837"/>
      <c r="V317" s="1837"/>
      <c r="W317" s="1837"/>
      <c r="X317" s="1837"/>
      <c r="Y317" s="1837"/>
      <c r="Z317" s="691" t="s">
        <v>103</v>
      </c>
      <c r="AA317" s="1821" t="s">
        <v>102</v>
      </c>
      <c r="AB317" s="1187" t="s">
        <v>1085</v>
      </c>
      <c r="AC317" s="1177">
        <v>379.39</v>
      </c>
      <c r="AD317" s="1187" t="str">
        <f>AB317</f>
        <v>  Прочие собственные средства</v>
      </c>
      <c r="AE317" s="1177">
        <v>0</v>
      </c>
      <c r="AF317" s="2094"/>
      <c r="AG317" s="1766"/>
      <c r="AH317" s="1766"/>
      <c r="AI317" s="2740"/>
      <c r="AJ317" s="1766"/>
      <c r="AK317" s="1992"/>
      <c r="AL317" s="1993"/>
      <c r="AM317" s="1830"/>
      <c r="AN317" s="1830"/>
      <c r="AO317" s="1830"/>
      <c r="AP317" s="1830"/>
      <c r="AQ317" s="1830"/>
      <c r="AR317" s="1830"/>
      <c r="AS317" s="1830"/>
      <c r="AT317" s="1830"/>
      <c r="AU317" s="1830"/>
      <c r="AV317" s="1830"/>
      <c r="AW317" s="1830"/>
      <c r="AX317" s="1830"/>
      <c r="AY317" s="1830"/>
      <c r="AZ317" s="1830"/>
      <c r="BA317" s="1830"/>
      <c r="BB317" s="1830"/>
      <c r="BC317" s="1830"/>
      <c r="BD317" s="1830"/>
      <c r="BE317" s="1830"/>
      <c r="BF317" s="1830"/>
      <c r="BG317" s="1643"/>
    </row>
    <row customHeight="1" ht="11.25">
      <c r="A318" s="1174" t="s">
        <v>1040</v>
      </c>
      <c r="B318" s="1174"/>
      <c r="C318" s="1174"/>
      <c r="D318" s="1168"/>
      <c r="E318" s="1178"/>
      <c r="F318" s="1836"/>
      <c r="G318" s="1837"/>
      <c r="H318" s="2536" t="s">
        <v>1197</v>
      </c>
      <c r="I318" s="2537"/>
      <c r="J318" s="2506"/>
      <c r="K318" s="2538"/>
      <c r="L318" s="2128"/>
      <c r="M318" s="2129"/>
      <c r="N318" s="2529"/>
      <c r="O318" s="2530"/>
      <c r="P318" s="2533"/>
      <c r="Q318" s="2735"/>
      <c r="R318" s="2534"/>
      <c r="S318" s="2535"/>
      <c r="T318" s="2534"/>
      <c r="U318" s="2534"/>
      <c r="V318" s="2534"/>
      <c r="W318" s="2534"/>
      <c r="X318" s="2534"/>
      <c r="Y318" s="2534"/>
      <c r="Z318" s="1183"/>
      <c r="AA318" s="1184"/>
      <c r="AB318" s="1249" t="s">
        <v>1086</v>
      </c>
      <c r="AC318" s="1188"/>
      <c r="AD318" s="1188"/>
      <c r="AE318" s="1190"/>
      <c r="AF318" s="2527"/>
      <c r="AG318" s="2528"/>
      <c r="AH318" s="2528"/>
      <c r="AI318" s="2734"/>
      <c r="AJ318" s="2528"/>
      <c r="AK318" s="2528"/>
      <c r="AL318" s="1993"/>
      <c r="AM318" s="1830"/>
      <c r="AN318" s="1830"/>
      <c r="AO318" s="1830"/>
      <c r="AP318" s="1830"/>
      <c r="AQ318" s="1830"/>
      <c r="AR318" s="1830"/>
      <c r="AS318" s="1830"/>
      <c r="AT318" s="1830"/>
      <c r="AU318" s="1830"/>
      <c r="AV318" s="1830"/>
      <c r="AW318" s="1830"/>
      <c r="AX318" s="1830"/>
      <c r="AY318" s="1830"/>
      <c r="AZ318" s="1830"/>
      <c r="BA318" s="1830"/>
      <c r="BB318" s="1830"/>
      <c r="BC318" s="1830"/>
      <c r="BD318" s="1830"/>
      <c r="BE318" s="1830"/>
      <c r="BF318" s="1830"/>
      <c r="BG318" s="1643"/>
    </row>
    <row customHeight="1" ht="11.25">
      <c r="A319" s="1174" t="s">
        <v>1040</v>
      </c>
      <c r="B319" s="1174"/>
      <c r="C319" s="1174"/>
      <c r="D319" s="1168"/>
      <c r="E319" s="1178"/>
      <c r="F319" s="1836"/>
      <c r="G319" s="1837"/>
      <c r="H319" s="2536" t="s">
        <v>1197</v>
      </c>
      <c r="I319" s="2537"/>
      <c r="J319" s="2506"/>
      <c r="K319" s="2538"/>
      <c r="L319" s="2128"/>
      <c r="M319" s="2129"/>
      <c r="N319" s="1183"/>
      <c r="O319" s="1184"/>
      <c r="P319" s="1176" t="s">
        <v>1087</v>
      </c>
      <c r="Q319" s="1184"/>
      <c r="R319" s="1184"/>
      <c r="S319" s="1184"/>
      <c r="T319" s="1184"/>
      <c r="U319" s="1184"/>
      <c r="V319" s="1184"/>
      <c r="W319" s="1184"/>
      <c r="X319" s="1184"/>
      <c r="Y319" s="1184"/>
      <c r="Z319" s="1184"/>
      <c r="AA319" s="1184"/>
      <c r="AB319" s="1184"/>
      <c r="AC319" s="1184"/>
      <c r="AD319" s="1184"/>
      <c r="AE319" s="1191"/>
      <c r="AF319" s="2527"/>
      <c r="AG319" s="2528"/>
      <c r="AH319" s="2528"/>
      <c r="AI319" s="2734"/>
      <c r="AJ319" s="2528"/>
      <c r="AK319" s="2528"/>
      <c r="AL319" s="1993"/>
      <c r="AM319" s="1830"/>
      <c r="AN319" s="1830"/>
      <c r="AO319" s="1830"/>
      <c r="AP319" s="1830"/>
      <c r="AQ319" s="1830"/>
      <c r="AR319" s="1830"/>
      <c r="AS319" s="1830"/>
      <c r="AT319" s="1830"/>
      <c r="AU319" s="1830"/>
      <c r="AV319" s="1830"/>
      <c r="AW319" s="1830"/>
      <c r="AX319" s="1830"/>
      <c r="AY319" s="1830"/>
      <c r="AZ319" s="1830"/>
      <c r="BA319" s="1830"/>
      <c r="BB319" s="1830"/>
      <c r="BC319" s="1830"/>
      <c r="BD319" s="1830"/>
      <c r="BE319" s="1830"/>
      <c r="BF319" s="1830"/>
      <c r="BG319" s="1643"/>
    </row>
    <row customHeight="1" ht="11.25">
      <c r="A320" s="1174" t="s">
        <v>1040</v>
      </c>
      <c r="B320" s="1174" t="s">
        <v>1119</v>
      </c>
      <c r="C320" s="1174"/>
      <c r="D320" s="1168"/>
      <c r="E320" s="1178"/>
      <c r="F320" s="1836"/>
      <c r="G320" s="691" t="s">
        <v>103</v>
      </c>
      <c r="H320" s="2536" t="s">
        <v>1201</v>
      </c>
      <c r="I320" s="2537" t="s">
        <v>1121</v>
      </c>
      <c r="J320" s="2506" t="s">
        <v>1125</v>
      </c>
      <c r="K320" s="2538" t="s">
        <v>1202</v>
      </c>
      <c r="L320" s="2128" t="s">
        <v>19</v>
      </c>
      <c r="M320" s="2129"/>
      <c r="N320" s="1991"/>
      <c r="O320" s="1185" t="s">
        <v>393</v>
      </c>
      <c r="P320" s="1186"/>
      <c r="Q320" s="1186"/>
      <c r="R320" s="1186"/>
      <c r="S320" s="1186"/>
      <c r="T320" s="1186"/>
      <c r="U320" s="1186"/>
      <c r="V320" s="1186"/>
      <c r="W320" s="1186"/>
      <c r="X320" s="1186"/>
      <c r="Y320" s="1186"/>
      <c r="Z320" s="1186"/>
      <c r="AA320" s="1186"/>
      <c r="AB320" s="1186"/>
      <c r="AC320" s="1186"/>
      <c r="AD320" s="1186"/>
      <c r="AE320" s="1186"/>
      <c r="AF320" s="2527">
        <v>1</v>
      </c>
      <c r="AG320" s="2528" t="s">
        <v>1076</v>
      </c>
      <c r="AH320" s="2528" t="s">
        <v>1091</v>
      </c>
      <c r="AI320" s="2527">
        <v>1</v>
      </c>
      <c r="AJ320" s="2528" t="s">
        <v>1092</v>
      </c>
      <c r="AK320" s="2528" t="s">
        <v>1091</v>
      </c>
      <c r="AL320" s="1993"/>
      <c r="AM320" s="1830"/>
      <c r="AN320" s="1830"/>
      <c r="AO320" s="1830"/>
      <c r="AP320" s="1830"/>
      <c r="AQ320" s="1830"/>
      <c r="AR320" s="1830"/>
      <c r="AS320" s="1830"/>
      <c r="AT320" s="1830"/>
      <c r="AU320" s="1830"/>
      <c r="AV320" s="1830"/>
      <c r="AW320" s="1830"/>
      <c r="AX320" s="1830"/>
      <c r="AY320" s="1830"/>
      <c r="AZ320" s="1830"/>
      <c r="BA320" s="1830"/>
      <c r="BB320" s="1830"/>
      <c r="BC320" s="1830"/>
      <c r="BD320" s="1830"/>
      <c r="BE320" s="1830"/>
      <c r="BF320" s="1830"/>
      <c r="BG320" s="1643"/>
    </row>
    <row customHeight="1" ht="11.25">
      <c r="A321" s="1174" t="s">
        <v>1040</v>
      </c>
      <c r="B321" s="1174"/>
      <c r="C321" s="1174"/>
      <c r="D321" s="1168"/>
      <c r="E321" s="1178"/>
      <c r="F321" s="1836"/>
      <c r="G321" s="1837"/>
      <c r="H321" s="2536" t="s">
        <v>1199</v>
      </c>
      <c r="I321" s="2537"/>
      <c r="J321" s="2506"/>
      <c r="K321" s="2538"/>
      <c r="L321" s="2128"/>
      <c r="M321" s="2129"/>
      <c r="N321" s="2529"/>
      <c r="O321" s="2530">
        <v>1</v>
      </c>
      <c r="P321" s="2531" t="s">
        <v>61</v>
      </c>
      <c r="Q321" s="2735" t="s">
        <v>1079</v>
      </c>
      <c r="R321" s="2736" t="s">
        <v>1080</v>
      </c>
      <c r="S321" s="2736" t="s">
        <v>99</v>
      </c>
      <c r="T321" s="2736" t="s">
        <v>99</v>
      </c>
      <c r="U321" s="2736" t="s">
        <v>100</v>
      </c>
      <c r="V321" s="2736" t="s">
        <v>1081</v>
      </c>
      <c r="W321" s="2736" t="s">
        <v>1082</v>
      </c>
      <c r="X321" s="2736" t="s">
        <v>1083</v>
      </c>
      <c r="Y321" s="2736" t="s">
        <v>1084</v>
      </c>
      <c r="Z321" s="1183"/>
      <c r="AA321" s="1184"/>
      <c r="AB321" s="1184"/>
      <c r="AC321" s="1188"/>
      <c r="AD321" s="1188"/>
      <c r="AE321" s="1189"/>
      <c r="AF321" s="2527"/>
      <c r="AG321" s="2528"/>
      <c r="AH321" s="2528"/>
      <c r="AI321" s="2527"/>
      <c r="AJ321" s="2528"/>
      <c r="AK321" s="2528"/>
      <c r="AL321" s="1993"/>
      <c r="AM321" s="1830"/>
      <c r="AN321" s="1830"/>
      <c r="AO321" s="1830"/>
      <c r="AP321" s="1830"/>
      <c r="AQ321" s="1830"/>
      <c r="AR321" s="1830"/>
      <c r="AS321" s="1830"/>
      <c r="AT321" s="1830"/>
      <c r="AU321" s="1830"/>
      <c r="AV321" s="1830"/>
      <c r="AW321" s="1830"/>
      <c r="AX321" s="1830"/>
      <c r="AY321" s="1830"/>
      <c r="AZ321" s="1830"/>
      <c r="BA321" s="1830"/>
      <c r="BB321" s="1830"/>
      <c r="BC321" s="1830"/>
      <c r="BD321" s="1830"/>
      <c r="BE321" s="1830"/>
      <c r="BF321" s="1830"/>
      <c r="BG321" s="1643"/>
    </row>
    <row customHeight="1" ht="11.25">
      <c r="A322" s="1174" t="s">
        <v>1040</v>
      </c>
      <c r="B322" s="1174"/>
      <c r="C322" s="1174"/>
      <c r="D322" s="1168"/>
      <c r="E322" s="1178"/>
      <c r="F322" s="1836"/>
      <c r="G322" s="1837"/>
      <c r="H322" s="2536" t="s">
        <v>1199</v>
      </c>
      <c r="I322" s="2537"/>
      <c r="J322" s="2506"/>
      <c r="K322" s="2538"/>
      <c r="L322" s="2128"/>
      <c r="M322" s="2129"/>
      <c r="N322" s="2529"/>
      <c r="O322" s="2530"/>
      <c r="P322" s="2532"/>
      <c r="Q322" s="2735"/>
      <c r="R322" s="2534"/>
      <c r="S322" s="2535"/>
      <c r="T322" s="2534"/>
      <c r="U322" s="2534"/>
      <c r="V322" s="2534"/>
      <c r="W322" s="2534"/>
      <c r="X322" s="2534"/>
      <c r="Y322" s="2534"/>
      <c r="Z322" s="1835"/>
      <c r="AA322" s="1801">
        <v>1</v>
      </c>
      <c r="AB322" s="1187" t="s">
        <v>1114</v>
      </c>
      <c r="AC322" s="1177">
        <v>12525.32</v>
      </c>
      <c r="AD322" s="1187" t="str">
        <f>AB322</f>
        <v>  За счет платы за технологическое присоединение</v>
      </c>
      <c r="AE322" s="1177">
        <v>9857.60755</v>
      </c>
      <c r="AF322" s="2527"/>
      <c r="AG322" s="2528"/>
      <c r="AH322" s="2528"/>
      <c r="AI322" s="2527"/>
      <c r="AJ322" s="2528"/>
      <c r="AK322" s="2528"/>
      <c r="AL322" s="1993"/>
      <c r="AM322" s="1830"/>
      <c r="AN322" s="1830"/>
      <c r="AO322" s="1830"/>
      <c r="AP322" s="1830"/>
      <c r="AQ322" s="1830"/>
      <c r="AR322" s="1830"/>
      <c r="AS322" s="1830"/>
      <c r="AT322" s="1830"/>
      <c r="AU322" s="1830"/>
      <c r="AV322" s="1830"/>
      <c r="AW322" s="1830"/>
      <c r="AX322" s="1830"/>
      <c r="AY322" s="1830"/>
      <c r="AZ322" s="1830"/>
      <c r="BA322" s="1830"/>
      <c r="BB322" s="1830"/>
      <c r="BC322" s="1830"/>
      <c r="BD322" s="1830"/>
      <c r="BE322" s="1830"/>
      <c r="BF322" s="1830"/>
      <c r="BG322" s="1643"/>
    </row>
    <row customHeight="1" ht="11.25">
      <c r="A323" s="1174" t="s">
        <v>1040</v>
      </c>
      <c r="B323" s="1174"/>
      <c r="C323" s="1174"/>
      <c r="D323" s="1168"/>
      <c r="E323" s="1178"/>
      <c r="F323" s="1837"/>
      <c r="G323" s="1837"/>
      <c r="H323" s="1837"/>
      <c r="I323" s="1837"/>
      <c r="J323" s="1837"/>
      <c r="K323" s="1837"/>
      <c r="L323" s="1837"/>
      <c r="M323" s="1837"/>
      <c r="N323" s="1837"/>
      <c r="O323" s="1837"/>
      <c r="P323" s="1837"/>
      <c r="Q323" s="1837"/>
      <c r="R323" s="1837"/>
      <c r="S323" s="1837"/>
      <c r="T323" s="1837"/>
      <c r="U323" s="1837"/>
      <c r="V323" s="1837"/>
      <c r="W323" s="1837"/>
      <c r="X323" s="1837"/>
      <c r="Y323" s="1837"/>
      <c r="Z323" s="691" t="s">
        <v>103</v>
      </c>
      <c r="AA323" s="1821" t="s">
        <v>102</v>
      </c>
      <c r="AB323" s="1187" t="s">
        <v>1085</v>
      </c>
      <c r="AC323" s="1177">
        <v>2505.06</v>
      </c>
      <c r="AD323" s="1187" t="str">
        <f>AB323</f>
        <v>  Прочие собственные средства</v>
      </c>
      <c r="AE323" s="1177">
        <v>1971.52151</v>
      </c>
      <c r="AF323" s="2094"/>
      <c r="AG323" s="1766"/>
      <c r="AH323" s="1766"/>
      <c r="AI323" s="2094"/>
      <c r="AJ323" s="1766"/>
      <c r="AK323" s="1992"/>
      <c r="AL323" s="1993"/>
      <c r="AM323" s="1830"/>
      <c r="AN323" s="1830"/>
      <c r="AO323" s="1830"/>
      <c r="AP323" s="1830"/>
      <c r="AQ323" s="1830"/>
      <c r="AR323" s="1830"/>
      <c r="AS323" s="1830"/>
      <c r="AT323" s="1830"/>
      <c r="AU323" s="1830"/>
      <c r="AV323" s="1830"/>
      <c r="AW323" s="1830"/>
      <c r="AX323" s="1830"/>
      <c r="AY323" s="1830"/>
      <c r="AZ323" s="1830"/>
      <c r="BA323" s="1830"/>
      <c r="BB323" s="1830"/>
      <c r="BC323" s="1830"/>
      <c r="BD323" s="1830"/>
      <c r="BE323" s="1830"/>
      <c r="BF323" s="1830"/>
      <c r="BG323" s="1643"/>
    </row>
    <row customHeight="1" ht="11.25">
      <c r="A324" s="1174" t="s">
        <v>1040</v>
      </c>
      <c r="B324" s="1174"/>
      <c r="C324" s="1174"/>
      <c r="D324" s="1168"/>
      <c r="E324" s="1178"/>
      <c r="F324" s="1836"/>
      <c r="G324" s="1837"/>
      <c r="H324" s="2536" t="s">
        <v>1199</v>
      </c>
      <c r="I324" s="2537"/>
      <c r="J324" s="2506"/>
      <c r="K324" s="2538"/>
      <c r="L324" s="2128"/>
      <c r="M324" s="2129"/>
      <c r="N324" s="2529"/>
      <c r="O324" s="2530"/>
      <c r="P324" s="2533"/>
      <c r="Q324" s="2735"/>
      <c r="R324" s="2534"/>
      <c r="S324" s="2535"/>
      <c r="T324" s="2534"/>
      <c r="U324" s="2534"/>
      <c r="V324" s="2534"/>
      <c r="W324" s="2534"/>
      <c r="X324" s="2534"/>
      <c r="Y324" s="2534"/>
      <c r="Z324" s="1183"/>
      <c r="AA324" s="1184"/>
      <c r="AB324" s="1249" t="s">
        <v>1086</v>
      </c>
      <c r="AC324" s="1188"/>
      <c r="AD324" s="1188"/>
      <c r="AE324" s="1190"/>
      <c r="AF324" s="2527"/>
      <c r="AG324" s="2528"/>
      <c r="AH324" s="2528"/>
      <c r="AI324" s="2527"/>
      <c r="AJ324" s="2528"/>
      <c r="AK324" s="2528"/>
      <c r="AL324" s="1993"/>
      <c r="AM324" s="1830"/>
      <c r="AN324" s="1830"/>
      <c r="AO324" s="1830"/>
      <c r="AP324" s="1830"/>
      <c r="AQ324" s="1830"/>
      <c r="AR324" s="1830"/>
      <c r="AS324" s="1830"/>
      <c r="AT324" s="1830"/>
      <c r="AU324" s="1830"/>
      <c r="AV324" s="1830"/>
      <c r="AW324" s="1830"/>
      <c r="AX324" s="1830"/>
      <c r="AY324" s="1830"/>
      <c r="AZ324" s="1830"/>
      <c r="BA324" s="1830"/>
      <c r="BB324" s="1830"/>
      <c r="BC324" s="1830"/>
      <c r="BD324" s="1830"/>
      <c r="BE324" s="1830"/>
      <c r="BF324" s="1830"/>
      <c r="BG324" s="1643"/>
    </row>
    <row customHeight="1" ht="11.25">
      <c r="A325" s="1174" t="s">
        <v>1040</v>
      </c>
      <c r="B325" s="1174"/>
      <c r="C325" s="1174"/>
      <c r="D325" s="1168"/>
      <c r="E325" s="1178"/>
      <c r="F325" s="1836"/>
      <c r="G325" s="1837"/>
      <c r="H325" s="2536" t="s">
        <v>1199</v>
      </c>
      <c r="I325" s="2537"/>
      <c r="J325" s="2506"/>
      <c r="K325" s="2538"/>
      <c r="L325" s="2128"/>
      <c r="M325" s="2129"/>
      <c r="N325" s="1183"/>
      <c r="O325" s="1184"/>
      <c r="P325" s="1176" t="s">
        <v>1087</v>
      </c>
      <c r="Q325" s="1184"/>
      <c r="R325" s="1184"/>
      <c r="S325" s="1184"/>
      <c r="T325" s="1184"/>
      <c r="U325" s="1184"/>
      <c r="V325" s="1184"/>
      <c r="W325" s="1184"/>
      <c r="X325" s="1184"/>
      <c r="Y325" s="1184"/>
      <c r="Z325" s="1184"/>
      <c r="AA325" s="1184"/>
      <c r="AB325" s="1184"/>
      <c r="AC325" s="1184"/>
      <c r="AD325" s="1184"/>
      <c r="AE325" s="1191"/>
      <c r="AF325" s="2527"/>
      <c r="AG325" s="2528"/>
      <c r="AH325" s="2528"/>
      <c r="AI325" s="2527"/>
      <c r="AJ325" s="2528"/>
      <c r="AK325" s="2528"/>
      <c r="AL325" s="1993"/>
      <c r="AM325" s="1830"/>
      <c r="AN325" s="1830"/>
      <c r="AO325" s="1830"/>
      <c r="AP325" s="1830"/>
      <c r="AQ325" s="1830"/>
      <c r="AR325" s="1830"/>
      <c r="AS325" s="1830"/>
      <c r="AT325" s="1830"/>
      <c r="AU325" s="1830"/>
      <c r="AV325" s="1830"/>
      <c r="AW325" s="1830"/>
      <c r="AX325" s="1830"/>
      <c r="AY325" s="1830"/>
      <c r="AZ325" s="1830"/>
      <c r="BA325" s="1830"/>
      <c r="BB325" s="1830"/>
      <c r="BC325" s="1830"/>
      <c r="BD325" s="1830"/>
      <c r="BE325" s="1830"/>
      <c r="BF325" s="1830"/>
      <c r="BG325" s="1643"/>
    </row>
    <row customHeight="1" ht="11.25">
      <c r="A326" s="1174" t="s">
        <v>1040</v>
      </c>
      <c r="B326" s="1174" t="s">
        <v>1119</v>
      </c>
      <c r="C326" s="1174"/>
      <c r="D326" s="1168"/>
      <c r="E326" s="1178"/>
      <c r="F326" s="1836"/>
      <c r="G326" s="691" t="s">
        <v>103</v>
      </c>
      <c r="H326" s="2536" t="s">
        <v>1203</v>
      </c>
      <c r="I326" s="2537" t="s">
        <v>1121</v>
      </c>
      <c r="J326" s="2506" t="s">
        <v>1125</v>
      </c>
      <c r="K326" s="2538" t="s">
        <v>1204</v>
      </c>
      <c r="L326" s="2128" t="s">
        <v>19</v>
      </c>
      <c r="M326" s="2129"/>
      <c r="N326" s="1991"/>
      <c r="O326" s="1185" t="s">
        <v>393</v>
      </c>
      <c r="P326" s="1186"/>
      <c r="Q326" s="1186"/>
      <c r="R326" s="1186"/>
      <c r="S326" s="1186"/>
      <c r="T326" s="1186"/>
      <c r="U326" s="1186"/>
      <c r="V326" s="1186"/>
      <c r="W326" s="1186"/>
      <c r="X326" s="1186"/>
      <c r="Y326" s="1186"/>
      <c r="Z326" s="1186"/>
      <c r="AA326" s="1186"/>
      <c r="AB326" s="1186"/>
      <c r="AC326" s="1186"/>
      <c r="AD326" s="1186"/>
      <c r="AE326" s="1186"/>
      <c r="AF326" s="2527">
        <v>1</v>
      </c>
      <c r="AG326" s="2528" t="s">
        <v>1076</v>
      </c>
      <c r="AH326" s="2528" t="s">
        <v>1091</v>
      </c>
      <c r="AI326" s="2734"/>
      <c r="AJ326" s="2528" t="s">
        <v>1132</v>
      </c>
      <c r="AK326" s="2528" t="s">
        <v>1132</v>
      </c>
      <c r="AL326" s="1993"/>
      <c r="AM326" s="1830"/>
      <c r="AN326" s="1830"/>
      <c r="AO326" s="1830"/>
      <c r="AP326" s="1830"/>
      <c r="AQ326" s="1830"/>
      <c r="AR326" s="1830"/>
      <c r="AS326" s="1830"/>
      <c r="AT326" s="1830"/>
      <c r="AU326" s="1830"/>
      <c r="AV326" s="1830"/>
      <c r="AW326" s="1830"/>
      <c r="AX326" s="1830"/>
      <c r="AY326" s="1830"/>
      <c r="AZ326" s="1830"/>
      <c r="BA326" s="1830"/>
      <c r="BB326" s="1830"/>
      <c r="BC326" s="1830"/>
      <c r="BD326" s="1830"/>
      <c r="BE326" s="1830"/>
      <c r="BF326" s="1830"/>
      <c r="BG326" s="1643"/>
    </row>
    <row customHeight="1" ht="11.25">
      <c r="A327" s="1174" t="s">
        <v>1040</v>
      </c>
      <c r="B327" s="1174"/>
      <c r="C327" s="1174"/>
      <c r="D327" s="1168"/>
      <c r="E327" s="1178"/>
      <c r="F327" s="1836"/>
      <c r="G327" s="1837"/>
      <c r="H327" s="2536" t="s">
        <v>1201</v>
      </c>
      <c r="I327" s="2537"/>
      <c r="J327" s="2506"/>
      <c r="K327" s="2538"/>
      <c r="L327" s="2128"/>
      <c r="M327" s="2129"/>
      <c r="N327" s="2529"/>
      <c r="O327" s="2530">
        <v>1</v>
      </c>
      <c r="P327" s="2531" t="s">
        <v>61</v>
      </c>
      <c r="Q327" s="2735" t="s">
        <v>1079</v>
      </c>
      <c r="R327" s="2736" t="s">
        <v>1080</v>
      </c>
      <c r="S327" s="2736" t="s">
        <v>99</v>
      </c>
      <c r="T327" s="2736" t="s">
        <v>99</v>
      </c>
      <c r="U327" s="2736" t="s">
        <v>100</v>
      </c>
      <c r="V327" s="2736" t="s">
        <v>1081</v>
      </c>
      <c r="W327" s="2736" t="s">
        <v>1082</v>
      </c>
      <c r="X327" s="2736" t="s">
        <v>1083</v>
      </c>
      <c r="Y327" s="2736" t="s">
        <v>1084</v>
      </c>
      <c r="Z327" s="1183"/>
      <c r="AA327" s="1184"/>
      <c r="AB327" s="1184"/>
      <c r="AC327" s="1188"/>
      <c r="AD327" s="1188"/>
      <c r="AE327" s="1189"/>
      <c r="AF327" s="2527"/>
      <c r="AG327" s="2528"/>
      <c r="AH327" s="2528"/>
      <c r="AI327" s="2734"/>
      <c r="AJ327" s="2528"/>
      <c r="AK327" s="2528"/>
      <c r="AL327" s="1993"/>
      <c r="AM327" s="1830"/>
      <c r="AN327" s="1830"/>
      <c r="AO327" s="1830"/>
      <c r="AP327" s="1830"/>
      <c r="AQ327" s="1830"/>
      <c r="AR327" s="1830"/>
      <c r="AS327" s="1830"/>
      <c r="AT327" s="1830"/>
      <c r="AU327" s="1830"/>
      <c r="AV327" s="1830"/>
      <c r="AW327" s="1830"/>
      <c r="AX327" s="1830"/>
      <c r="AY327" s="1830"/>
      <c r="AZ327" s="1830"/>
      <c r="BA327" s="1830"/>
      <c r="BB327" s="1830"/>
      <c r="BC327" s="1830"/>
      <c r="BD327" s="1830"/>
      <c r="BE327" s="1830"/>
      <c r="BF327" s="1830"/>
      <c r="BG327" s="1643"/>
    </row>
    <row customHeight="1" ht="11.25">
      <c r="A328" s="1174" t="s">
        <v>1040</v>
      </c>
      <c r="B328" s="1174"/>
      <c r="C328" s="1174"/>
      <c r="D328" s="1168"/>
      <c r="E328" s="1178"/>
      <c r="F328" s="1836"/>
      <c r="G328" s="1837"/>
      <c r="H328" s="2536" t="s">
        <v>1201</v>
      </c>
      <c r="I328" s="2537"/>
      <c r="J328" s="2506"/>
      <c r="K328" s="2538"/>
      <c r="L328" s="2128"/>
      <c r="M328" s="2129"/>
      <c r="N328" s="2529"/>
      <c r="O328" s="2530"/>
      <c r="P328" s="2532"/>
      <c r="Q328" s="2735"/>
      <c r="R328" s="2534"/>
      <c r="S328" s="2535"/>
      <c r="T328" s="2534"/>
      <c r="U328" s="2534"/>
      <c r="V328" s="2534"/>
      <c r="W328" s="2534"/>
      <c r="X328" s="2534"/>
      <c r="Y328" s="2534"/>
      <c r="Z328" s="1835"/>
      <c r="AA328" s="1801">
        <v>1</v>
      </c>
      <c r="AB328" s="1187" t="s">
        <v>1114</v>
      </c>
      <c r="AC328" s="1177">
        <v>8841.44</v>
      </c>
      <c r="AD328" s="1187" t="str">
        <f>AB328</f>
        <v>  За счет платы за технологическое присоединение</v>
      </c>
      <c r="AE328" s="1177">
        <v>0</v>
      </c>
      <c r="AF328" s="2527"/>
      <c r="AG328" s="2528"/>
      <c r="AH328" s="2528"/>
      <c r="AI328" s="2734"/>
      <c r="AJ328" s="2528"/>
      <c r="AK328" s="2528"/>
      <c r="AL328" s="1993"/>
      <c r="AM328" s="1830"/>
      <c r="AN328" s="1830"/>
      <c r="AO328" s="1830"/>
      <c r="AP328" s="1830"/>
      <c r="AQ328" s="1830"/>
      <c r="AR328" s="1830"/>
      <c r="AS328" s="1830"/>
      <c r="AT328" s="1830"/>
      <c r="AU328" s="1830"/>
      <c r="AV328" s="1830"/>
      <c r="AW328" s="1830"/>
      <c r="AX328" s="1830"/>
      <c r="AY328" s="1830"/>
      <c r="AZ328" s="1830"/>
      <c r="BA328" s="1830"/>
      <c r="BB328" s="1830"/>
      <c r="BC328" s="1830"/>
      <c r="BD328" s="1830"/>
      <c r="BE328" s="1830"/>
      <c r="BF328" s="1830"/>
      <c r="BG328" s="1643"/>
    </row>
    <row customHeight="1" ht="11.25">
      <c r="A329" s="1174" t="s">
        <v>1040</v>
      </c>
      <c r="B329" s="1174"/>
      <c r="C329" s="1174"/>
      <c r="D329" s="1168"/>
      <c r="E329" s="1178"/>
      <c r="F329" s="1837"/>
      <c r="G329" s="1837"/>
      <c r="H329" s="1837"/>
      <c r="I329" s="1837"/>
      <c r="J329" s="1837"/>
      <c r="K329" s="1837"/>
      <c r="L329" s="1837"/>
      <c r="M329" s="1837"/>
      <c r="N329" s="1837"/>
      <c r="O329" s="1837"/>
      <c r="P329" s="1837"/>
      <c r="Q329" s="1837"/>
      <c r="R329" s="1837"/>
      <c r="S329" s="1837"/>
      <c r="T329" s="1837"/>
      <c r="U329" s="1837"/>
      <c r="V329" s="1837"/>
      <c r="W329" s="1837"/>
      <c r="X329" s="1837"/>
      <c r="Y329" s="1837"/>
      <c r="Z329" s="691" t="s">
        <v>103</v>
      </c>
      <c r="AA329" s="1821" t="s">
        <v>102</v>
      </c>
      <c r="AB329" s="1187" t="s">
        <v>1085</v>
      </c>
      <c r="AC329" s="1177">
        <v>1768.29</v>
      </c>
      <c r="AD329" s="1187" t="str">
        <f>AB329</f>
        <v>  Прочие собственные средства</v>
      </c>
      <c r="AE329" s="1177">
        <v>0</v>
      </c>
      <c r="AF329" s="2094"/>
      <c r="AG329" s="1766"/>
      <c r="AH329" s="1766"/>
      <c r="AI329" s="2740"/>
      <c r="AJ329" s="1766"/>
      <c r="AK329" s="1992"/>
      <c r="AL329" s="1993"/>
      <c r="AM329" s="1830"/>
      <c r="AN329" s="1830"/>
      <c r="AO329" s="1830"/>
      <c r="AP329" s="1830"/>
      <c r="AQ329" s="1830"/>
      <c r="AR329" s="1830"/>
      <c r="AS329" s="1830"/>
      <c r="AT329" s="1830"/>
      <c r="AU329" s="1830"/>
      <c r="AV329" s="1830"/>
      <c r="AW329" s="1830"/>
      <c r="AX329" s="1830"/>
      <c r="AY329" s="1830"/>
      <c r="AZ329" s="1830"/>
      <c r="BA329" s="1830"/>
      <c r="BB329" s="1830"/>
      <c r="BC329" s="1830"/>
      <c r="BD329" s="1830"/>
      <c r="BE329" s="1830"/>
      <c r="BF329" s="1830"/>
      <c r="BG329" s="1643"/>
    </row>
    <row customHeight="1" ht="11.25">
      <c r="A330" s="1174" t="s">
        <v>1040</v>
      </c>
      <c r="B330" s="1174"/>
      <c r="C330" s="1174"/>
      <c r="D330" s="1168"/>
      <c r="E330" s="1178"/>
      <c r="F330" s="1836"/>
      <c r="G330" s="1837"/>
      <c r="H330" s="2536" t="s">
        <v>1201</v>
      </c>
      <c r="I330" s="2537"/>
      <c r="J330" s="2506"/>
      <c r="K330" s="2538"/>
      <c r="L330" s="2128"/>
      <c r="M330" s="2129"/>
      <c r="N330" s="2529"/>
      <c r="O330" s="2530"/>
      <c r="P330" s="2533"/>
      <c r="Q330" s="2735"/>
      <c r="R330" s="2534"/>
      <c r="S330" s="2535"/>
      <c r="T330" s="2534"/>
      <c r="U330" s="2534"/>
      <c r="V330" s="2534"/>
      <c r="W330" s="2534"/>
      <c r="X330" s="2534"/>
      <c r="Y330" s="2534"/>
      <c r="Z330" s="1183"/>
      <c r="AA330" s="1184"/>
      <c r="AB330" s="1249" t="s">
        <v>1086</v>
      </c>
      <c r="AC330" s="1188"/>
      <c r="AD330" s="1188"/>
      <c r="AE330" s="1190"/>
      <c r="AF330" s="2527"/>
      <c r="AG330" s="2528"/>
      <c r="AH330" s="2528"/>
      <c r="AI330" s="2734"/>
      <c r="AJ330" s="2528"/>
      <c r="AK330" s="2528"/>
      <c r="AL330" s="1993"/>
      <c r="AM330" s="1830"/>
      <c r="AN330" s="1830"/>
      <c r="AO330" s="1830"/>
      <c r="AP330" s="1830"/>
      <c r="AQ330" s="1830"/>
      <c r="AR330" s="1830"/>
      <c r="AS330" s="1830"/>
      <c r="AT330" s="1830"/>
      <c r="AU330" s="1830"/>
      <c r="AV330" s="1830"/>
      <c r="AW330" s="1830"/>
      <c r="AX330" s="1830"/>
      <c r="AY330" s="1830"/>
      <c r="AZ330" s="1830"/>
      <c r="BA330" s="1830"/>
      <c r="BB330" s="1830"/>
      <c r="BC330" s="1830"/>
      <c r="BD330" s="1830"/>
      <c r="BE330" s="1830"/>
      <c r="BF330" s="1830"/>
      <c r="BG330" s="1643"/>
    </row>
    <row customHeight="1" ht="11.25">
      <c r="A331" s="1174" t="s">
        <v>1040</v>
      </c>
      <c r="B331" s="1174"/>
      <c r="C331" s="1174"/>
      <c r="D331" s="1168"/>
      <c r="E331" s="1178"/>
      <c r="F331" s="1836"/>
      <c r="G331" s="1837"/>
      <c r="H331" s="2536" t="s">
        <v>1201</v>
      </c>
      <c r="I331" s="2537"/>
      <c r="J331" s="2506"/>
      <c r="K331" s="2538"/>
      <c r="L331" s="2128"/>
      <c r="M331" s="2129"/>
      <c r="N331" s="1183"/>
      <c r="O331" s="1184"/>
      <c r="P331" s="1176" t="s">
        <v>1087</v>
      </c>
      <c r="Q331" s="1184"/>
      <c r="R331" s="1184"/>
      <c r="S331" s="1184"/>
      <c r="T331" s="1184"/>
      <c r="U331" s="1184"/>
      <c r="V331" s="1184"/>
      <c r="W331" s="1184"/>
      <c r="X331" s="1184"/>
      <c r="Y331" s="1184"/>
      <c r="Z331" s="1184"/>
      <c r="AA331" s="1184"/>
      <c r="AB331" s="1184"/>
      <c r="AC331" s="1184"/>
      <c r="AD331" s="1184"/>
      <c r="AE331" s="1191"/>
      <c r="AF331" s="2527"/>
      <c r="AG331" s="2528"/>
      <c r="AH331" s="2528"/>
      <c r="AI331" s="2734"/>
      <c r="AJ331" s="2528"/>
      <c r="AK331" s="2528"/>
      <c r="AL331" s="1993"/>
      <c r="AM331" s="1830"/>
      <c r="AN331" s="1830"/>
      <c r="AO331" s="1830"/>
      <c r="AP331" s="1830"/>
      <c r="AQ331" s="1830"/>
      <c r="AR331" s="1830"/>
      <c r="AS331" s="1830"/>
      <c r="AT331" s="1830"/>
      <c r="AU331" s="1830"/>
      <c r="AV331" s="1830"/>
      <c r="AW331" s="1830"/>
      <c r="AX331" s="1830"/>
      <c r="AY331" s="1830"/>
      <c r="AZ331" s="1830"/>
      <c r="BA331" s="1830"/>
      <c r="BB331" s="1830"/>
      <c r="BC331" s="1830"/>
      <c r="BD331" s="1830"/>
      <c r="BE331" s="1830"/>
      <c r="BF331" s="1830"/>
      <c r="BG331" s="1643"/>
    </row>
    <row customHeight="1" ht="11.25">
      <c r="A332" s="1174" t="s">
        <v>1040</v>
      </c>
      <c r="B332" s="1174" t="s">
        <v>1119</v>
      </c>
      <c r="C332" s="1174"/>
      <c r="D332" s="1168"/>
      <c r="E332" s="1178"/>
      <c r="F332" s="1836"/>
      <c r="G332" s="691" t="s">
        <v>103</v>
      </c>
      <c r="H332" s="2536" t="s">
        <v>1205</v>
      </c>
      <c r="I332" s="2537" t="s">
        <v>1121</v>
      </c>
      <c r="J332" s="2506" t="s">
        <v>1125</v>
      </c>
      <c r="K332" s="2538" t="s">
        <v>1206</v>
      </c>
      <c r="L332" s="2128" t="s">
        <v>19</v>
      </c>
      <c r="M332" s="2129"/>
      <c r="N332" s="1991"/>
      <c r="O332" s="1185" t="s">
        <v>393</v>
      </c>
      <c r="P332" s="1186"/>
      <c r="Q332" s="1186"/>
      <c r="R332" s="1186"/>
      <c r="S332" s="1186"/>
      <c r="T332" s="1186"/>
      <c r="U332" s="1186"/>
      <c r="V332" s="1186"/>
      <c r="W332" s="1186"/>
      <c r="X332" s="1186"/>
      <c r="Y332" s="1186"/>
      <c r="Z332" s="1186"/>
      <c r="AA332" s="1186"/>
      <c r="AB332" s="1186"/>
      <c r="AC332" s="1186"/>
      <c r="AD332" s="1186"/>
      <c r="AE332" s="1186"/>
      <c r="AF332" s="2527">
        <v>1</v>
      </c>
      <c r="AG332" s="2528" t="s">
        <v>1076</v>
      </c>
      <c r="AH332" s="2528" t="s">
        <v>1091</v>
      </c>
      <c r="AI332" s="2527">
        <v>1</v>
      </c>
      <c r="AJ332" s="2528" t="s">
        <v>1127</v>
      </c>
      <c r="AK332" s="2528" t="s">
        <v>1091</v>
      </c>
      <c r="AL332" s="1993"/>
      <c r="AM332" s="1830"/>
      <c r="AN332" s="1830"/>
      <c r="AO332" s="1830"/>
      <c r="AP332" s="1830"/>
      <c r="AQ332" s="1830"/>
      <c r="AR332" s="1830"/>
      <c r="AS332" s="1830"/>
      <c r="AT332" s="1830"/>
      <c r="AU332" s="1830"/>
      <c r="AV332" s="1830"/>
      <c r="AW332" s="1830"/>
      <c r="AX332" s="1830"/>
      <c r="AY332" s="1830"/>
      <c r="AZ332" s="1830"/>
      <c r="BA332" s="1830"/>
      <c r="BB332" s="1830"/>
      <c r="BC332" s="1830"/>
      <c r="BD332" s="1830"/>
      <c r="BE332" s="1830"/>
      <c r="BF332" s="1830"/>
      <c r="BG332" s="1643"/>
    </row>
    <row customHeight="1" ht="11.25">
      <c r="A333" s="1174" t="s">
        <v>1040</v>
      </c>
      <c r="B333" s="1174"/>
      <c r="C333" s="1174"/>
      <c r="D333" s="1168"/>
      <c r="E333" s="1178"/>
      <c r="F333" s="1836"/>
      <c r="G333" s="1837"/>
      <c r="H333" s="2536" t="s">
        <v>1203</v>
      </c>
      <c r="I333" s="2537"/>
      <c r="J333" s="2506"/>
      <c r="K333" s="2538"/>
      <c r="L333" s="2128"/>
      <c r="M333" s="2129"/>
      <c r="N333" s="2529"/>
      <c r="O333" s="2530">
        <v>1</v>
      </c>
      <c r="P333" s="2531" t="s">
        <v>61</v>
      </c>
      <c r="Q333" s="2735" t="s">
        <v>1079</v>
      </c>
      <c r="R333" s="2736" t="s">
        <v>1080</v>
      </c>
      <c r="S333" s="2736" t="s">
        <v>99</v>
      </c>
      <c r="T333" s="2736" t="s">
        <v>99</v>
      </c>
      <c r="U333" s="2736" t="s">
        <v>100</v>
      </c>
      <c r="V333" s="2736" t="s">
        <v>1081</v>
      </c>
      <c r="W333" s="2736" t="s">
        <v>1082</v>
      </c>
      <c r="X333" s="2736" t="s">
        <v>1083</v>
      </c>
      <c r="Y333" s="2736" t="s">
        <v>1084</v>
      </c>
      <c r="Z333" s="1183"/>
      <c r="AA333" s="1184"/>
      <c r="AB333" s="1184"/>
      <c r="AC333" s="1188"/>
      <c r="AD333" s="1188"/>
      <c r="AE333" s="1189"/>
      <c r="AF333" s="2527"/>
      <c r="AG333" s="2528"/>
      <c r="AH333" s="2528"/>
      <c r="AI333" s="2527"/>
      <c r="AJ333" s="2528"/>
      <c r="AK333" s="2528"/>
      <c r="AL333" s="1993"/>
      <c r="AM333" s="1830"/>
      <c r="AN333" s="1830"/>
      <c r="AO333" s="1830"/>
      <c r="AP333" s="1830"/>
      <c r="AQ333" s="1830"/>
      <c r="AR333" s="1830"/>
      <c r="AS333" s="1830"/>
      <c r="AT333" s="1830"/>
      <c r="AU333" s="1830"/>
      <c r="AV333" s="1830"/>
      <c r="AW333" s="1830"/>
      <c r="AX333" s="1830"/>
      <c r="AY333" s="1830"/>
      <c r="AZ333" s="1830"/>
      <c r="BA333" s="1830"/>
      <c r="BB333" s="1830"/>
      <c r="BC333" s="1830"/>
      <c r="BD333" s="1830"/>
      <c r="BE333" s="1830"/>
      <c r="BF333" s="1830"/>
      <c r="BG333" s="1643"/>
    </row>
    <row customHeight="1" ht="11.25">
      <c r="A334" s="1174" t="s">
        <v>1040</v>
      </c>
      <c r="B334" s="1174"/>
      <c r="C334" s="1174"/>
      <c r="D334" s="1168"/>
      <c r="E334" s="1178"/>
      <c r="F334" s="1836"/>
      <c r="G334" s="1837"/>
      <c r="H334" s="2536" t="s">
        <v>1203</v>
      </c>
      <c r="I334" s="2537"/>
      <c r="J334" s="2506"/>
      <c r="K334" s="2538"/>
      <c r="L334" s="2128"/>
      <c r="M334" s="2129"/>
      <c r="N334" s="2529"/>
      <c r="O334" s="2530"/>
      <c r="P334" s="2532"/>
      <c r="Q334" s="2735"/>
      <c r="R334" s="2534"/>
      <c r="S334" s="2535"/>
      <c r="T334" s="2534"/>
      <c r="U334" s="2534"/>
      <c r="V334" s="2534"/>
      <c r="W334" s="2534"/>
      <c r="X334" s="2534"/>
      <c r="Y334" s="2534"/>
      <c r="Z334" s="1835"/>
      <c r="AA334" s="1801">
        <v>1</v>
      </c>
      <c r="AB334" s="1187" t="s">
        <v>1114</v>
      </c>
      <c r="AC334" s="1177">
        <v>525.71</v>
      </c>
      <c r="AD334" s="1187" t="str">
        <f>AB334</f>
        <v>  За счет платы за технологическое присоединение</v>
      </c>
      <c r="AE334" s="1177">
        <v>525.707</v>
      </c>
      <c r="AF334" s="2527"/>
      <c r="AG334" s="2528"/>
      <c r="AH334" s="2528"/>
      <c r="AI334" s="2527"/>
      <c r="AJ334" s="2528"/>
      <c r="AK334" s="2528"/>
      <c r="AL334" s="1993"/>
      <c r="AM334" s="1830"/>
      <c r="AN334" s="1830"/>
      <c r="AO334" s="1830"/>
      <c r="AP334" s="1830"/>
      <c r="AQ334" s="1830"/>
      <c r="AR334" s="1830"/>
      <c r="AS334" s="1830"/>
      <c r="AT334" s="1830"/>
      <c r="AU334" s="1830"/>
      <c r="AV334" s="1830"/>
      <c r="AW334" s="1830"/>
      <c r="AX334" s="1830"/>
      <c r="AY334" s="1830"/>
      <c r="AZ334" s="1830"/>
      <c r="BA334" s="1830"/>
      <c r="BB334" s="1830"/>
      <c r="BC334" s="1830"/>
      <c r="BD334" s="1830"/>
      <c r="BE334" s="1830"/>
      <c r="BF334" s="1830"/>
      <c r="BG334" s="1643"/>
    </row>
    <row customHeight="1" ht="11.25">
      <c r="A335" s="1174" t="s">
        <v>1040</v>
      </c>
      <c r="B335" s="1174"/>
      <c r="C335" s="1174"/>
      <c r="D335" s="1168"/>
      <c r="E335" s="1178"/>
      <c r="F335" s="1837"/>
      <c r="G335" s="1837"/>
      <c r="H335" s="1837"/>
      <c r="I335" s="1837"/>
      <c r="J335" s="1837"/>
      <c r="K335" s="1837"/>
      <c r="L335" s="1837"/>
      <c r="M335" s="1837"/>
      <c r="N335" s="1837"/>
      <c r="O335" s="1837"/>
      <c r="P335" s="1837"/>
      <c r="Q335" s="1837"/>
      <c r="R335" s="1837"/>
      <c r="S335" s="1837"/>
      <c r="T335" s="1837"/>
      <c r="U335" s="1837"/>
      <c r="V335" s="1837"/>
      <c r="W335" s="1837"/>
      <c r="X335" s="1837"/>
      <c r="Y335" s="1837"/>
      <c r="Z335" s="691" t="s">
        <v>103</v>
      </c>
      <c r="AA335" s="1821" t="s">
        <v>102</v>
      </c>
      <c r="AB335" s="1187" t="s">
        <v>1085</v>
      </c>
      <c r="AC335" s="1177">
        <v>105.14</v>
      </c>
      <c r="AD335" s="1187" t="str">
        <f>AB335</f>
        <v>  Прочие собственные средства</v>
      </c>
      <c r="AE335" s="1177">
        <v>105.1414</v>
      </c>
      <c r="AF335" s="2094"/>
      <c r="AG335" s="1766"/>
      <c r="AH335" s="1766"/>
      <c r="AI335" s="2094"/>
      <c r="AJ335" s="1766"/>
      <c r="AK335" s="1992"/>
      <c r="AL335" s="1993"/>
      <c r="AM335" s="1830"/>
      <c r="AN335" s="1830"/>
      <c r="AO335" s="1830"/>
      <c r="AP335" s="1830"/>
      <c r="AQ335" s="1830"/>
      <c r="AR335" s="1830"/>
      <c r="AS335" s="1830"/>
      <c r="AT335" s="1830"/>
      <c r="AU335" s="1830"/>
      <c r="AV335" s="1830"/>
      <c r="AW335" s="1830"/>
      <c r="AX335" s="1830"/>
      <c r="AY335" s="1830"/>
      <c r="AZ335" s="1830"/>
      <c r="BA335" s="1830"/>
      <c r="BB335" s="1830"/>
      <c r="BC335" s="1830"/>
      <c r="BD335" s="1830"/>
      <c r="BE335" s="1830"/>
      <c r="BF335" s="1830"/>
      <c r="BG335" s="1643"/>
    </row>
    <row customHeight="1" ht="11.25">
      <c r="A336" s="1174" t="s">
        <v>1040</v>
      </c>
      <c r="B336" s="1174"/>
      <c r="C336" s="1174"/>
      <c r="D336" s="1168"/>
      <c r="E336" s="1178"/>
      <c r="F336" s="1836"/>
      <c r="G336" s="1837"/>
      <c r="H336" s="2536" t="s">
        <v>1203</v>
      </c>
      <c r="I336" s="2537"/>
      <c r="J336" s="2506"/>
      <c r="K336" s="2538"/>
      <c r="L336" s="2128"/>
      <c r="M336" s="2129"/>
      <c r="N336" s="2529"/>
      <c r="O336" s="2530"/>
      <c r="P336" s="2533"/>
      <c r="Q336" s="2735"/>
      <c r="R336" s="2534"/>
      <c r="S336" s="2535"/>
      <c r="T336" s="2534"/>
      <c r="U336" s="2534"/>
      <c r="V336" s="2534"/>
      <c r="W336" s="2534"/>
      <c r="X336" s="2534"/>
      <c r="Y336" s="2534"/>
      <c r="Z336" s="1183"/>
      <c r="AA336" s="1184"/>
      <c r="AB336" s="1249" t="s">
        <v>1086</v>
      </c>
      <c r="AC336" s="1188"/>
      <c r="AD336" s="1188"/>
      <c r="AE336" s="1190"/>
      <c r="AF336" s="2527"/>
      <c r="AG336" s="2528"/>
      <c r="AH336" s="2528"/>
      <c r="AI336" s="2527"/>
      <c r="AJ336" s="2528"/>
      <c r="AK336" s="2528"/>
      <c r="AL336" s="1993"/>
      <c r="AM336" s="1830"/>
      <c r="AN336" s="1830"/>
      <c r="AO336" s="1830"/>
      <c r="AP336" s="1830"/>
      <c r="AQ336" s="1830"/>
      <c r="AR336" s="1830"/>
      <c r="AS336" s="1830"/>
      <c r="AT336" s="1830"/>
      <c r="AU336" s="1830"/>
      <c r="AV336" s="1830"/>
      <c r="AW336" s="1830"/>
      <c r="AX336" s="1830"/>
      <c r="AY336" s="1830"/>
      <c r="AZ336" s="1830"/>
      <c r="BA336" s="1830"/>
      <c r="BB336" s="1830"/>
      <c r="BC336" s="1830"/>
      <c r="BD336" s="1830"/>
      <c r="BE336" s="1830"/>
      <c r="BF336" s="1830"/>
      <c r="BG336" s="1643"/>
    </row>
    <row customHeight="1" ht="11.25">
      <c r="A337" s="1174" t="s">
        <v>1040</v>
      </c>
      <c r="B337" s="1174"/>
      <c r="C337" s="1174"/>
      <c r="D337" s="1168"/>
      <c r="E337" s="1178"/>
      <c r="F337" s="1836"/>
      <c r="G337" s="1837"/>
      <c r="H337" s="2536" t="s">
        <v>1203</v>
      </c>
      <c r="I337" s="2537"/>
      <c r="J337" s="2506"/>
      <c r="K337" s="2538"/>
      <c r="L337" s="2128"/>
      <c r="M337" s="2129"/>
      <c r="N337" s="1183"/>
      <c r="O337" s="1184"/>
      <c r="P337" s="1176" t="s">
        <v>1087</v>
      </c>
      <c r="Q337" s="1184"/>
      <c r="R337" s="1184"/>
      <c r="S337" s="1184"/>
      <c r="T337" s="1184"/>
      <c r="U337" s="1184"/>
      <c r="V337" s="1184"/>
      <c r="W337" s="1184"/>
      <c r="X337" s="1184"/>
      <c r="Y337" s="1184"/>
      <c r="Z337" s="1184"/>
      <c r="AA337" s="1184"/>
      <c r="AB337" s="1184"/>
      <c r="AC337" s="1184"/>
      <c r="AD337" s="1184"/>
      <c r="AE337" s="1191"/>
      <c r="AF337" s="2527"/>
      <c r="AG337" s="2528"/>
      <c r="AH337" s="2528"/>
      <c r="AI337" s="2527"/>
      <c r="AJ337" s="2528"/>
      <c r="AK337" s="2528"/>
      <c r="AL337" s="1993"/>
      <c r="AM337" s="1830"/>
      <c r="AN337" s="1830"/>
      <c r="AO337" s="1830"/>
      <c r="AP337" s="1830"/>
      <c r="AQ337" s="1830"/>
      <c r="AR337" s="1830"/>
      <c r="AS337" s="1830"/>
      <c r="AT337" s="1830"/>
      <c r="AU337" s="1830"/>
      <c r="AV337" s="1830"/>
      <c r="AW337" s="1830"/>
      <c r="AX337" s="1830"/>
      <c r="AY337" s="1830"/>
      <c r="AZ337" s="1830"/>
      <c r="BA337" s="1830"/>
      <c r="BB337" s="1830"/>
      <c r="BC337" s="1830"/>
      <c r="BD337" s="1830"/>
      <c r="BE337" s="1830"/>
      <c r="BF337" s="1830"/>
      <c r="BG337" s="1643"/>
    </row>
    <row customHeight="1" ht="11.25">
      <c r="A338" s="1174" t="s">
        <v>1040</v>
      </c>
      <c r="B338" s="1174" t="s">
        <v>1119</v>
      </c>
      <c r="C338" s="1174"/>
      <c r="D338" s="1168"/>
      <c r="E338" s="1178"/>
      <c r="F338" s="1836"/>
      <c r="G338" s="691" t="s">
        <v>103</v>
      </c>
      <c r="H338" s="2536" t="s">
        <v>1207</v>
      </c>
      <c r="I338" s="2537" t="s">
        <v>1121</v>
      </c>
      <c r="J338" s="2506" t="s">
        <v>1125</v>
      </c>
      <c r="K338" s="2538" t="s">
        <v>1208</v>
      </c>
      <c r="L338" s="2128" t="s">
        <v>19</v>
      </c>
      <c r="M338" s="2129"/>
      <c r="N338" s="1991"/>
      <c r="O338" s="1185" t="s">
        <v>393</v>
      </c>
      <c r="P338" s="1186"/>
      <c r="Q338" s="1186"/>
      <c r="R338" s="1186"/>
      <c r="S338" s="1186"/>
      <c r="T338" s="1186"/>
      <c r="U338" s="1186"/>
      <c r="V338" s="1186"/>
      <c r="W338" s="1186"/>
      <c r="X338" s="1186"/>
      <c r="Y338" s="1186"/>
      <c r="Z338" s="1186"/>
      <c r="AA338" s="1186"/>
      <c r="AB338" s="1186"/>
      <c r="AC338" s="1186"/>
      <c r="AD338" s="1186"/>
      <c r="AE338" s="1186"/>
      <c r="AF338" s="2527">
        <v>1</v>
      </c>
      <c r="AG338" s="2528" t="s">
        <v>1076</v>
      </c>
      <c r="AH338" s="2528" t="s">
        <v>1091</v>
      </c>
      <c r="AI338" s="2527">
        <v>1</v>
      </c>
      <c r="AJ338" s="2528" t="s">
        <v>1127</v>
      </c>
      <c r="AK338" s="2528" t="s">
        <v>1091</v>
      </c>
      <c r="AL338" s="1993"/>
      <c r="AM338" s="1830"/>
      <c r="AN338" s="1830"/>
      <c r="AO338" s="1830"/>
      <c r="AP338" s="1830"/>
      <c r="AQ338" s="1830"/>
      <c r="AR338" s="1830"/>
      <c r="AS338" s="1830"/>
      <c r="AT338" s="1830"/>
      <c r="AU338" s="1830"/>
      <c r="AV338" s="1830"/>
      <c r="AW338" s="1830"/>
      <c r="AX338" s="1830"/>
      <c r="AY338" s="1830"/>
      <c r="AZ338" s="1830"/>
      <c r="BA338" s="1830"/>
      <c r="BB338" s="1830"/>
      <c r="BC338" s="1830"/>
      <c r="BD338" s="1830"/>
      <c r="BE338" s="1830"/>
      <c r="BF338" s="1830"/>
      <c r="BG338" s="1643"/>
    </row>
    <row customHeight="1" ht="11.25">
      <c r="A339" s="1174" t="s">
        <v>1040</v>
      </c>
      <c r="B339" s="1174"/>
      <c r="C339" s="1174"/>
      <c r="D339" s="1168"/>
      <c r="E339" s="1178"/>
      <c r="F339" s="1836"/>
      <c r="G339" s="1837"/>
      <c r="H339" s="2536" t="s">
        <v>1205</v>
      </c>
      <c r="I339" s="2537"/>
      <c r="J339" s="2506"/>
      <c r="K339" s="2538"/>
      <c r="L339" s="2128"/>
      <c r="M339" s="2129"/>
      <c r="N339" s="2529"/>
      <c r="O339" s="2530">
        <v>1</v>
      </c>
      <c r="P339" s="2531" t="s">
        <v>61</v>
      </c>
      <c r="Q339" s="2735" t="s">
        <v>1079</v>
      </c>
      <c r="R339" s="2736" t="s">
        <v>1080</v>
      </c>
      <c r="S339" s="2736" t="s">
        <v>99</v>
      </c>
      <c r="T339" s="2736" t="s">
        <v>99</v>
      </c>
      <c r="U339" s="2736" t="s">
        <v>100</v>
      </c>
      <c r="V339" s="2736" t="s">
        <v>1081</v>
      </c>
      <c r="W339" s="2736" t="s">
        <v>1082</v>
      </c>
      <c r="X339" s="2736" t="s">
        <v>1083</v>
      </c>
      <c r="Y339" s="2736" t="s">
        <v>1084</v>
      </c>
      <c r="Z339" s="1183"/>
      <c r="AA339" s="1184"/>
      <c r="AB339" s="1184"/>
      <c r="AC339" s="1188"/>
      <c r="AD339" s="1188"/>
      <c r="AE339" s="1189"/>
      <c r="AF339" s="2527"/>
      <c r="AG339" s="2528"/>
      <c r="AH339" s="2528"/>
      <c r="AI339" s="2527"/>
      <c r="AJ339" s="2528"/>
      <c r="AK339" s="2528"/>
      <c r="AL339" s="1993"/>
      <c r="AM339" s="1830"/>
      <c r="AN339" s="1830"/>
      <c r="AO339" s="1830"/>
      <c r="AP339" s="1830"/>
      <c r="AQ339" s="1830"/>
      <c r="AR339" s="1830"/>
      <c r="AS339" s="1830"/>
      <c r="AT339" s="1830"/>
      <c r="AU339" s="1830"/>
      <c r="AV339" s="1830"/>
      <c r="AW339" s="1830"/>
      <c r="AX339" s="1830"/>
      <c r="AY339" s="1830"/>
      <c r="AZ339" s="1830"/>
      <c r="BA339" s="1830"/>
      <c r="BB339" s="1830"/>
      <c r="BC339" s="1830"/>
      <c r="BD339" s="1830"/>
      <c r="BE339" s="1830"/>
      <c r="BF339" s="1830"/>
      <c r="BG339" s="1643"/>
    </row>
    <row customHeight="1" ht="11.25">
      <c r="A340" s="1174" t="s">
        <v>1040</v>
      </c>
      <c r="B340" s="1174"/>
      <c r="C340" s="1174"/>
      <c r="D340" s="1168"/>
      <c r="E340" s="1178"/>
      <c r="F340" s="1836"/>
      <c r="G340" s="1837"/>
      <c r="H340" s="2536" t="s">
        <v>1205</v>
      </c>
      <c r="I340" s="2537"/>
      <c r="J340" s="2506"/>
      <c r="K340" s="2538"/>
      <c r="L340" s="2128"/>
      <c r="M340" s="2129"/>
      <c r="N340" s="2529"/>
      <c r="O340" s="2530"/>
      <c r="P340" s="2532"/>
      <c r="Q340" s="2735"/>
      <c r="R340" s="2534"/>
      <c r="S340" s="2535"/>
      <c r="T340" s="2534"/>
      <c r="U340" s="2534"/>
      <c r="V340" s="2534"/>
      <c r="W340" s="2534"/>
      <c r="X340" s="2534"/>
      <c r="Y340" s="2534"/>
      <c r="Z340" s="1835"/>
      <c r="AA340" s="1801">
        <v>1</v>
      </c>
      <c r="AB340" s="1187" t="s">
        <v>1114</v>
      </c>
      <c r="AC340" s="1177">
        <v>562.1</v>
      </c>
      <c r="AD340" s="1187" t="str">
        <f>AB340</f>
        <v>  За счет платы за технологическое присоединение</v>
      </c>
      <c r="AE340" s="1177">
        <v>562.1021</v>
      </c>
      <c r="AF340" s="2527"/>
      <c r="AG340" s="2528"/>
      <c r="AH340" s="2528"/>
      <c r="AI340" s="2527"/>
      <c r="AJ340" s="2528"/>
      <c r="AK340" s="2528"/>
      <c r="AL340" s="1993"/>
      <c r="AM340" s="1830"/>
      <c r="AN340" s="1830"/>
      <c r="AO340" s="1830"/>
      <c r="AP340" s="1830"/>
      <c r="AQ340" s="1830"/>
      <c r="AR340" s="1830"/>
      <c r="AS340" s="1830"/>
      <c r="AT340" s="1830"/>
      <c r="AU340" s="1830"/>
      <c r="AV340" s="1830"/>
      <c r="AW340" s="1830"/>
      <c r="AX340" s="1830"/>
      <c r="AY340" s="1830"/>
      <c r="AZ340" s="1830"/>
      <c r="BA340" s="1830"/>
      <c r="BB340" s="1830"/>
      <c r="BC340" s="1830"/>
      <c r="BD340" s="1830"/>
      <c r="BE340" s="1830"/>
      <c r="BF340" s="1830"/>
      <c r="BG340" s="1643"/>
    </row>
    <row customHeight="1" ht="11.25">
      <c r="A341" s="1174" t="s">
        <v>1040</v>
      </c>
      <c r="B341" s="1174"/>
      <c r="C341" s="1174"/>
      <c r="D341" s="1168"/>
      <c r="E341" s="1178"/>
      <c r="F341" s="1837"/>
      <c r="G341" s="1837"/>
      <c r="H341" s="1837"/>
      <c r="I341" s="1837"/>
      <c r="J341" s="1837"/>
      <c r="K341" s="1837"/>
      <c r="L341" s="1837"/>
      <c r="M341" s="1837"/>
      <c r="N341" s="1837"/>
      <c r="O341" s="1837"/>
      <c r="P341" s="1837"/>
      <c r="Q341" s="1837"/>
      <c r="R341" s="1837"/>
      <c r="S341" s="1837"/>
      <c r="T341" s="1837"/>
      <c r="U341" s="1837"/>
      <c r="V341" s="1837"/>
      <c r="W341" s="1837"/>
      <c r="X341" s="1837"/>
      <c r="Y341" s="1837"/>
      <c r="Z341" s="691" t="s">
        <v>103</v>
      </c>
      <c r="AA341" s="1821" t="s">
        <v>102</v>
      </c>
      <c r="AB341" s="1187" t="s">
        <v>1085</v>
      </c>
      <c r="AC341" s="1177">
        <v>112.42</v>
      </c>
      <c r="AD341" s="1187" t="str">
        <f>AB341</f>
        <v>  Прочие собственные средства</v>
      </c>
      <c r="AE341" s="1177">
        <v>112.42042</v>
      </c>
      <c r="AF341" s="2094"/>
      <c r="AG341" s="1766"/>
      <c r="AH341" s="1766"/>
      <c r="AI341" s="2094"/>
      <c r="AJ341" s="1766"/>
      <c r="AK341" s="1992"/>
      <c r="AL341" s="1993"/>
      <c r="AM341" s="1830"/>
      <c r="AN341" s="1830"/>
      <c r="AO341" s="1830"/>
      <c r="AP341" s="1830"/>
      <c r="AQ341" s="1830"/>
      <c r="AR341" s="1830"/>
      <c r="AS341" s="1830"/>
      <c r="AT341" s="1830"/>
      <c r="AU341" s="1830"/>
      <c r="AV341" s="1830"/>
      <c r="AW341" s="1830"/>
      <c r="AX341" s="1830"/>
      <c r="AY341" s="1830"/>
      <c r="AZ341" s="1830"/>
      <c r="BA341" s="1830"/>
      <c r="BB341" s="1830"/>
      <c r="BC341" s="1830"/>
      <c r="BD341" s="1830"/>
      <c r="BE341" s="1830"/>
      <c r="BF341" s="1830"/>
      <c r="BG341" s="1643"/>
    </row>
    <row customHeight="1" ht="11.25">
      <c r="A342" s="1174" t="s">
        <v>1040</v>
      </c>
      <c r="B342" s="1174"/>
      <c r="C342" s="1174"/>
      <c r="D342" s="1168"/>
      <c r="E342" s="1178"/>
      <c r="F342" s="1836"/>
      <c r="G342" s="1837"/>
      <c r="H342" s="2536" t="s">
        <v>1205</v>
      </c>
      <c r="I342" s="2537"/>
      <c r="J342" s="2506"/>
      <c r="K342" s="2538"/>
      <c r="L342" s="2128"/>
      <c r="M342" s="2129"/>
      <c r="N342" s="2529"/>
      <c r="O342" s="2530"/>
      <c r="P342" s="2533"/>
      <c r="Q342" s="2735"/>
      <c r="R342" s="2534"/>
      <c r="S342" s="2535"/>
      <c r="T342" s="2534"/>
      <c r="U342" s="2534"/>
      <c r="V342" s="2534"/>
      <c r="W342" s="2534"/>
      <c r="X342" s="2534"/>
      <c r="Y342" s="2534"/>
      <c r="Z342" s="1183"/>
      <c r="AA342" s="1184"/>
      <c r="AB342" s="1249" t="s">
        <v>1086</v>
      </c>
      <c r="AC342" s="1188"/>
      <c r="AD342" s="1188"/>
      <c r="AE342" s="1190"/>
      <c r="AF342" s="2527"/>
      <c r="AG342" s="2528"/>
      <c r="AH342" s="2528"/>
      <c r="AI342" s="2527"/>
      <c r="AJ342" s="2528"/>
      <c r="AK342" s="2528"/>
      <c r="AL342" s="1993"/>
      <c r="AM342" s="1830"/>
      <c r="AN342" s="1830"/>
      <c r="AO342" s="1830"/>
      <c r="AP342" s="1830"/>
      <c r="AQ342" s="1830"/>
      <c r="AR342" s="1830"/>
      <c r="AS342" s="1830"/>
      <c r="AT342" s="1830"/>
      <c r="AU342" s="1830"/>
      <c r="AV342" s="1830"/>
      <c r="AW342" s="1830"/>
      <c r="AX342" s="1830"/>
      <c r="AY342" s="1830"/>
      <c r="AZ342" s="1830"/>
      <c r="BA342" s="1830"/>
      <c r="BB342" s="1830"/>
      <c r="BC342" s="1830"/>
      <c r="BD342" s="1830"/>
      <c r="BE342" s="1830"/>
      <c r="BF342" s="1830"/>
      <c r="BG342" s="1643"/>
    </row>
    <row customHeight="1" ht="11.25">
      <c r="A343" s="1174" t="s">
        <v>1040</v>
      </c>
      <c r="B343" s="1174"/>
      <c r="C343" s="1174"/>
      <c r="D343" s="1168"/>
      <c r="E343" s="1178"/>
      <c r="F343" s="1836"/>
      <c r="G343" s="1837"/>
      <c r="H343" s="2536" t="s">
        <v>1205</v>
      </c>
      <c r="I343" s="2537"/>
      <c r="J343" s="2506"/>
      <c r="K343" s="2538"/>
      <c r="L343" s="2128"/>
      <c r="M343" s="2129"/>
      <c r="N343" s="1183"/>
      <c r="O343" s="1184"/>
      <c r="P343" s="1176" t="s">
        <v>1087</v>
      </c>
      <c r="Q343" s="1184"/>
      <c r="R343" s="1184"/>
      <c r="S343" s="1184"/>
      <c r="T343" s="1184"/>
      <c r="U343" s="1184"/>
      <c r="V343" s="1184"/>
      <c r="W343" s="1184"/>
      <c r="X343" s="1184"/>
      <c r="Y343" s="1184"/>
      <c r="Z343" s="1184"/>
      <c r="AA343" s="1184"/>
      <c r="AB343" s="1184"/>
      <c r="AC343" s="1184"/>
      <c r="AD343" s="1184"/>
      <c r="AE343" s="1191"/>
      <c r="AF343" s="2527"/>
      <c r="AG343" s="2528"/>
      <c r="AH343" s="2528"/>
      <c r="AI343" s="2527"/>
      <c r="AJ343" s="2528"/>
      <c r="AK343" s="2528"/>
      <c r="AL343" s="1993"/>
      <c r="AM343" s="1830"/>
      <c r="AN343" s="1830"/>
      <c r="AO343" s="1830"/>
      <c r="AP343" s="1830"/>
      <c r="AQ343" s="1830"/>
      <c r="AR343" s="1830"/>
      <c r="AS343" s="1830"/>
      <c r="AT343" s="1830"/>
      <c r="AU343" s="1830"/>
      <c r="AV343" s="1830"/>
      <c r="AW343" s="1830"/>
      <c r="AX343" s="1830"/>
      <c r="AY343" s="1830"/>
      <c r="AZ343" s="1830"/>
      <c r="BA343" s="1830"/>
      <c r="BB343" s="1830"/>
      <c r="BC343" s="1830"/>
      <c r="BD343" s="1830"/>
      <c r="BE343" s="1830"/>
      <c r="BF343" s="1830"/>
      <c r="BG343" s="1643"/>
    </row>
    <row customHeight="1" ht="11.25">
      <c r="A344" s="1174" t="s">
        <v>1040</v>
      </c>
      <c r="B344" s="1174" t="s">
        <v>1119</v>
      </c>
      <c r="C344" s="1174"/>
      <c r="D344" s="1168"/>
      <c r="E344" s="1178"/>
      <c r="F344" s="1836"/>
      <c r="G344" s="691" t="s">
        <v>103</v>
      </c>
      <c r="H344" s="2536" t="s">
        <v>1209</v>
      </c>
      <c r="I344" s="2537" t="s">
        <v>1121</v>
      </c>
      <c r="J344" s="2506" t="s">
        <v>1125</v>
      </c>
      <c r="K344" s="2538" t="s">
        <v>1210</v>
      </c>
      <c r="L344" s="2128" t="s">
        <v>19</v>
      </c>
      <c r="M344" s="2129"/>
      <c r="N344" s="1991"/>
      <c r="O344" s="1185" t="s">
        <v>393</v>
      </c>
      <c r="P344" s="1186"/>
      <c r="Q344" s="1186"/>
      <c r="R344" s="1186"/>
      <c r="S344" s="1186"/>
      <c r="T344" s="1186"/>
      <c r="U344" s="1186"/>
      <c r="V344" s="1186"/>
      <c r="W344" s="1186"/>
      <c r="X344" s="1186"/>
      <c r="Y344" s="1186"/>
      <c r="Z344" s="1186"/>
      <c r="AA344" s="1186"/>
      <c r="AB344" s="1186"/>
      <c r="AC344" s="1186"/>
      <c r="AD344" s="1186"/>
      <c r="AE344" s="1186"/>
      <c r="AF344" s="2527">
        <v>1</v>
      </c>
      <c r="AG344" s="2528" t="s">
        <v>1076</v>
      </c>
      <c r="AH344" s="2528" t="s">
        <v>1091</v>
      </c>
      <c r="AI344" s="2527">
        <v>1</v>
      </c>
      <c r="AJ344" s="2528" t="s">
        <v>1092</v>
      </c>
      <c r="AK344" s="2528" t="s">
        <v>1091</v>
      </c>
      <c r="AL344" s="1993"/>
      <c r="AM344" s="1830"/>
      <c r="AN344" s="1830"/>
      <c r="AO344" s="1830"/>
      <c r="AP344" s="1830"/>
      <c r="AQ344" s="1830"/>
      <c r="AR344" s="1830"/>
      <c r="AS344" s="1830"/>
      <c r="AT344" s="1830"/>
      <c r="AU344" s="1830"/>
      <c r="AV344" s="1830"/>
      <c r="AW344" s="1830"/>
      <c r="AX344" s="1830"/>
      <c r="AY344" s="1830"/>
      <c r="AZ344" s="1830"/>
      <c r="BA344" s="1830"/>
      <c r="BB344" s="1830"/>
      <c r="BC344" s="1830"/>
      <c r="BD344" s="1830"/>
      <c r="BE344" s="1830"/>
      <c r="BF344" s="1830"/>
      <c r="BG344" s="1643"/>
    </row>
    <row customHeight="1" ht="11.25">
      <c r="A345" s="1174" t="s">
        <v>1040</v>
      </c>
      <c r="B345" s="1174"/>
      <c r="C345" s="1174"/>
      <c r="D345" s="1168"/>
      <c r="E345" s="1178"/>
      <c r="F345" s="1836"/>
      <c r="G345" s="1837"/>
      <c r="H345" s="2536" t="s">
        <v>1207</v>
      </c>
      <c r="I345" s="2537"/>
      <c r="J345" s="2506"/>
      <c r="K345" s="2538"/>
      <c r="L345" s="2128"/>
      <c r="M345" s="2129"/>
      <c r="N345" s="2529"/>
      <c r="O345" s="2530">
        <v>1</v>
      </c>
      <c r="P345" s="2531" t="s">
        <v>61</v>
      </c>
      <c r="Q345" s="2735" t="s">
        <v>1079</v>
      </c>
      <c r="R345" s="2736" t="s">
        <v>1080</v>
      </c>
      <c r="S345" s="2736" t="s">
        <v>99</v>
      </c>
      <c r="T345" s="2736" t="s">
        <v>99</v>
      </c>
      <c r="U345" s="2736" t="s">
        <v>100</v>
      </c>
      <c r="V345" s="2736" t="s">
        <v>1081</v>
      </c>
      <c r="W345" s="2736" t="s">
        <v>1082</v>
      </c>
      <c r="X345" s="2736" t="s">
        <v>1083</v>
      </c>
      <c r="Y345" s="2736" t="s">
        <v>1084</v>
      </c>
      <c r="Z345" s="1183"/>
      <c r="AA345" s="1184"/>
      <c r="AB345" s="1184"/>
      <c r="AC345" s="1188"/>
      <c r="AD345" s="1188"/>
      <c r="AE345" s="1189"/>
      <c r="AF345" s="2527"/>
      <c r="AG345" s="2528"/>
      <c r="AH345" s="2528"/>
      <c r="AI345" s="2527"/>
      <c r="AJ345" s="2528"/>
      <c r="AK345" s="2528"/>
      <c r="AL345" s="1993"/>
      <c r="AM345" s="1830"/>
      <c r="AN345" s="1830"/>
      <c r="AO345" s="1830"/>
      <c r="AP345" s="1830"/>
      <c r="AQ345" s="1830"/>
      <c r="AR345" s="1830"/>
      <c r="AS345" s="1830"/>
      <c r="AT345" s="1830"/>
      <c r="AU345" s="1830"/>
      <c r="AV345" s="1830"/>
      <c r="AW345" s="1830"/>
      <c r="AX345" s="1830"/>
      <c r="AY345" s="1830"/>
      <c r="AZ345" s="1830"/>
      <c r="BA345" s="1830"/>
      <c r="BB345" s="1830"/>
      <c r="BC345" s="1830"/>
      <c r="BD345" s="1830"/>
      <c r="BE345" s="1830"/>
      <c r="BF345" s="1830"/>
      <c r="BG345" s="1643"/>
    </row>
    <row customHeight="1" ht="11.25">
      <c r="A346" s="1174" t="s">
        <v>1040</v>
      </c>
      <c r="B346" s="1174"/>
      <c r="C346" s="1174"/>
      <c r="D346" s="1168"/>
      <c r="E346" s="1178"/>
      <c r="F346" s="1836"/>
      <c r="G346" s="1837"/>
      <c r="H346" s="2536" t="s">
        <v>1207</v>
      </c>
      <c r="I346" s="2537"/>
      <c r="J346" s="2506"/>
      <c r="K346" s="2538"/>
      <c r="L346" s="2128"/>
      <c r="M346" s="2129"/>
      <c r="N346" s="2529"/>
      <c r="O346" s="2530"/>
      <c r="P346" s="2532"/>
      <c r="Q346" s="2735"/>
      <c r="R346" s="2534"/>
      <c r="S346" s="2535"/>
      <c r="T346" s="2534"/>
      <c r="U346" s="2534"/>
      <c r="V346" s="2534"/>
      <c r="W346" s="2534"/>
      <c r="X346" s="2534"/>
      <c r="Y346" s="2534"/>
      <c r="Z346" s="1835"/>
      <c r="AA346" s="1801">
        <v>1</v>
      </c>
      <c r="AB346" s="1187" t="s">
        <v>1114</v>
      </c>
      <c r="AC346" s="1177">
        <v>4773.46</v>
      </c>
      <c r="AD346" s="1187" t="str">
        <f>AB346</f>
        <v>  За счет платы за технологическое присоединение</v>
      </c>
      <c r="AE346" s="1177">
        <v>4534.78617</v>
      </c>
      <c r="AF346" s="2527"/>
      <c r="AG346" s="2528"/>
      <c r="AH346" s="2528"/>
      <c r="AI346" s="2527"/>
      <c r="AJ346" s="2528"/>
      <c r="AK346" s="2528"/>
      <c r="AL346" s="1993"/>
      <c r="AM346" s="1830"/>
      <c r="AN346" s="1830"/>
      <c r="AO346" s="1830"/>
      <c r="AP346" s="1830"/>
      <c r="AQ346" s="1830"/>
      <c r="AR346" s="1830"/>
      <c r="AS346" s="1830"/>
      <c r="AT346" s="1830"/>
      <c r="AU346" s="1830"/>
      <c r="AV346" s="1830"/>
      <c r="AW346" s="1830"/>
      <c r="AX346" s="1830"/>
      <c r="AY346" s="1830"/>
      <c r="AZ346" s="1830"/>
      <c r="BA346" s="1830"/>
      <c r="BB346" s="1830"/>
      <c r="BC346" s="1830"/>
      <c r="BD346" s="1830"/>
      <c r="BE346" s="1830"/>
      <c r="BF346" s="1830"/>
      <c r="BG346" s="1643"/>
    </row>
    <row customHeight="1" ht="11.25">
      <c r="A347" s="1174" t="s">
        <v>1040</v>
      </c>
      <c r="B347" s="1174"/>
      <c r="C347" s="1174"/>
      <c r="D347" s="1168"/>
      <c r="E347" s="1178"/>
      <c r="F347" s="1837"/>
      <c r="G347" s="1837"/>
      <c r="H347" s="1837"/>
      <c r="I347" s="1837"/>
      <c r="J347" s="1837"/>
      <c r="K347" s="1837"/>
      <c r="L347" s="1837"/>
      <c r="M347" s="1837"/>
      <c r="N347" s="1837"/>
      <c r="O347" s="1837"/>
      <c r="P347" s="1837"/>
      <c r="Q347" s="1837"/>
      <c r="R347" s="1837"/>
      <c r="S347" s="1837"/>
      <c r="T347" s="1837"/>
      <c r="U347" s="1837"/>
      <c r="V347" s="1837"/>
      <c r="W347" s="1837"/>
      <c r="X347" s="1837"/>
      <c r="Y347" s="1837"/>
      <c r="Z347" s="691" t="s">
        <v>103</v>
      </c>
      <c r="AA347" s="1821" t="s">
        <v>102</v>
      </c>
      <c r="AB347" s="1187" t="s">
        <v>1085</v>
      </c>
      <c r="AC347" s="1177">
        <v>954.69</v>
      </c>
      <c r="AD347" s="1187" t="str">
        <f>AB347</f>
        <v>  Прочие собственные средства</v>
      </c>
      <c r="AE347" s="1177">
        <v>906.95723</v>
      </c>
      <c r="AF347" s="2094"/>
      <c r="AG347" s="1766"/>
      <c r="AH347" s="1766"/>
      <c r="AI347" s="2094"/>
      <c r="AJ347" s="1766"/>
      <c r="AK347" s="1992"/>
      <c r="AL347" s="1993"/>
      <c r="AM347" s="1830"/>
      <c r="AN347" s="1830"/>
      <c r="AO347" s="1830"/>
      <c r="AP347" s="1830"/>
      <c r="AQ347" s="1830"/>
      <c r="AR347" s="1830"/>
      <c r="AS347" s="1830"/>
      <c r="AT347" s="1830"/>
      <c r="AU347" s="1830"/>
      <c r="AV347" s="1830"/>
      <c r="AW347" s="1830"/>
      <c r="AX347" s="1830"/>
      <c r="AY347" s="1830"/>
      <c r="AZ347" s="1830"/>
      <c r="BA347" s="1830"/>
      <c r="BB347" s="1830"/>
      <c r="BC347" s="1830"/>
      <c r="BD347" s="1830"/>
      <c r="BE347" s="1830"/>
      <c r="BF347" s="1830"/>
      <c r="BG347" s="1643"/>
    </row>
    <row customHeight="1" ht="11.25">
      <c r="A348" s="1174" t="s">
        <v>1040</v>
      </c>
      <c r="B348" s="1174"/>
      <c r="C348" s="1174"/>
      <c r="D348" s="1168"/>
      <c r="E348" s="1178"/>
      <c r="F348" s="1836"/>
      <c r="G348" s="1837"/>
      <c r="H348" s="2536" t="s">
        <v>1207</v>
      </c>
      <c r="I348" s="2537"/>
      <c r="J348" s="2506"/>
      <c r="K348" s="2538"/>
      <c r="L348" s="2128"/>
      <c r="M348" s="2129"/>
      <c r="N348" s="2529"/>
      <c r="O348" s="2530"/>
      <c r="P348" s="2533"/>
      <c r="Q348" s="2735"/>
      <c r="R348" s="2534"/>
      <c r="S348" s="2535"/>
      <c r="T348" s="2534"/>
      <c r="U348" s="2534"/>
      <c r="V348" s="2534"/>
      <c r="W348" s="2534"/>
      <c r="X348" s="2534"/>
      <c r="Y348" s="2534"/>
      <c r="Z348" s="1183"/>
      <c r="AA348" s="1184"/>
      <c r="AB348" s="1249" t="s">
        <v>1086</v>
      </c>
      <c r="AC348" s="1188"/>
      <c r="AD348" s="1188"/>
      <c r="AE348" s="1190"/>
      <c r="AF348" s="2527"/>
      <c r="AG348" s="2528"/>
      <c r="AH348" s="2528"/>
      <c r="AI348" s="2527"/>
      <c r="AJ348" s="2528"/>
      <c r="AK348" s="2528"/>
      <c r="AL348" s="1993"/>
      <c r="AM348" s="1830"/>
      <c r="AN348" s="1830"/>
      <c r="AO348" s="1830"/>
      <c r="AP348" s="1830"/>
      <c r="AQ348" s="1830"/>
      <c r="AR348" s="1830"/>
      <c r="AS348" s="1830"/>
      <c r="AT348" s="1830"/>
      <c r="AU348" s="1830"/>
      <c r="AV348" s="1830"/>
      <c r="AW348" s="1830"/>
      <c r="AX348" s="1830"/>
      <c r="AY348" s="1830"/>
      <c r="AZ348" s="1830"/>
      <c r="BA348" s="1830"/>
      <c r="BB348" s="1830"/>
      <c r="BC348" s="1830"/>
      <c r="BD348" s="1830"/>
      <c r="BE348" s="1830"/>
      <c r="BF348" s="1830"/>
      <c r="BG348" s="1643"/>
    </row>
    <row customHeight="1" ht="11.25">
      <c r="A349" s="1174" t="s">
        <v>1040</v>
      </c>
      <c r="B349" s="1174"/>
      <c r="C349" s="1174"/>
      <c r="D349" s="1168"/>
      <c r="E349" s="1178"/>
      <c r="F349" s="1836"/>
      <c r="G349" s="1837"/>
      <c r="H349" s="2536" t="s">
        <v>1207</v>
      </c>
      <c r="I349" s="2537"/>
      <c r="J349" s="2506"/>
      <c r="K349" s="2538"/>
      <c r="L349" s="2128"/>
      <c r="M349" s="2129"/>
      <c r="N349" s="1183"/>
      <c r="O349" s="1184"/>
      <c r="P349" s="1176" t="s">
        <v>1087</v>
      </c>
      <c r="Q349" s="1184"/>
      <c r="R349" s="1184"/>
      <c r="S349" s="1184"/>
      <c r="T349" s="1184"/>
      <c r="U349" s="1184"/>
      <c r="V349" s="1184"/>
      <c r="W349" s="1184"/>
      <c r="X349" s="1184"/>
      <c r="Y349" s="1184"/>
      <c r="Z349" s="1184"/>
      <c r="AA349" s="1184"/>
      <c r="AB349" s="1184"/>
      <c r="AC349" s="1184"/>
      <c r="AD349" s="1184"/>
      <c r="AE349" s="1191"/>
      <c r="AF349" s="2527"/>
      <c r="AG349" s="2528"/>
      <c r="AH349" s="2528"/>
      <c r="AI349" s="2527"/>
      <c r="AJ349" s="2528"/>
      <c r="AK349" s="2528"/>
      <c r="AL349" s="1993"/>
      <c r="AM349" s="1830"/>
      <c r="AN349" s="1830"/>
      <c r="AO349" s="1830"/>
      <c r="AP349" s="1830"/>
      <c r="AQ349" s="1830"/>
      <c r="AR349" s="1830"/>
      <c r="AS349" s="1830"/>
      <c r="AT349" s="1830"/>
      <c r="AU349" s="1830"/>
      <c r="AV349" s="1830"/>
      <c r="AW349" s="1830"/>
      <c r="AX349" s="1830"/>
      <c r="AY349" s="1830"/>
      <c r="AZ349" s="1830"/>
      <c r="BA349" s="1830"/>
      <c r="BB349" s="1830"/>
      <c r="BC349" s="1830"/>
      <c r="BD349" s="1830"/>
      <c r="BE349" s="1830"/>
      <c r="BF349" s="1830"/>
      <c r="BG349" s="1643"/>
    </row>
    <row customHeight="1" ht="11.25">
      <c r="A350" s="1174" t="s">
        <v>1040</v>
      </c>
      <c r="B350" s="1174" t="s">
        <v>22</v>
      </c>
      <c r="C350" s="1174"/>
      <c r="D350" s="1168"/>
      <c r="E350" s="1178"/>
      <c r="F350" s="1836"/>
      <c r="G350" s="691" t="s">
        <v>103</v>
      </c>
      <c r="H350" s="2536" t="s">
        <v>1211</v>
      </c>
      <c r="I350" s="2537" t="s">
        <v>1098</v>
      </c>
      <c r="J350" s="2739" t="s">
        <v>22</v>
      </c>
      <c r="K350" s="2538" t="s">
        <v>1212</v>
      </c>
      <c r="L350" s="2128" t="s">
        <v>19</v>
      </c>
      <c r="M350" s="2129"/>
      <c r="N350" s="1991"/>
      <c r="O350" s="1185" t="s">
        <v>393</v>
      </c>
      <c r="P350" s="1186"/>
      <c r="Q350" s="1186"/>
      <c r="R350" s="1186"/>
      <c r="S350" s="1186"/>
      <c r="T350" s="1186"/>
      <c r="U350" s="1186"/>
      <c r="V350" s="1186"/>
      <c r="W350" s="1186"/>
      <c r="X350" s="1186"/>
      <c r="Y350" s="1186"/>
      <c r="Z350" s="1186"/>
      <c r="AA350" s="1186"/>
      <c r="AB350" s="1186"/>
      <c r="AC350" s="1186"/>
      <c r="AD350" s="1186"/>
      <c r="AE350" s="1186"/>
      <c r="AF350" s="2527">
        <v>2</v>
      </c>
      <c r="AG350" s="2528" t="s">
        <v>1100</v>
      </c>
      <c r="AH350" s="2528" t="s">
        <v>1101</v>
      </c>
      <c r="AI350" s="2734"/>
      <c r="AJ350" s="2528" t="s">
        <v>1078</v>
      </c>
      <c r="AK350" s="2528" t="s">
        <v>1078</v>
      </c>
      <c r="AL350" s="1993"/>
      <c r="AM350" s="1830"/>
      <c r="AN350" s="1830"/>
      <c r="AO350" s="1830"/>
      <c r="AP350" s="1830"/>
      <c r="AQ350" s="1830"/>
      <c r="AR350" s="1830"/>
      <c r="AS350" s="1830"/>
      <c r="AT350" s="1830"/>
      <c r="AU350" s="1830"/>
      <c r="AV350" s="1830"/>
      <c r="AW350" s="1830"/>
      <c r="AX350" s="1830"/>
      <c r="AY350" s="1830"/>
      <c r="AZ350" s="1830"/>
      <c r="BA350" s="1830"/>
      <c r="BB350" s="1830"/>
      <c r="BC350" s="1830"/>
      <c r="BD350" s="1830"/>
      <c r="BE350" s="1830"/>
      <c r="BF350" s="1830"/>
      <c r="BG350" s="1643"/>
    </row>
    <row customHeight="1" ht="11.25">
      <c r="A351" s="1174" t="s">
        <v>1040</v>
      </c>
      <c r="B351" s="1174"/>
      <c r="C351" s="1174"/>
      <c r="D351" s="1168"/>
      <c r="E351" s="1178"/>
      <c r="F351" s="1836"/>
      <c r="G351" s="1837"/>
      <c r="H351" s="2536" t="s">
        <v>1209</v>
      </c>
      <c r="I351" s="2537"/>
      <c r="J351" s="2739"/>
      <c r="K351" s="2538"/>
      <c r="L351" s="2128"/>
      <c r="M351" s="2129"/>
      <c r="N351" s="2529"/>
      <c r="O351" s="2530">
        <v>1</v>
      </c>
      <c r="P351" s="2531" t="s">
        <v>61</v>
      </c>
      <c r="Q351" s="2735" t="s">
        <v>1079</v>
      </c>
      <c r="R351" s="2736" t="s">
        <v>1080</v>
      </c>
      <c r="S351" s="2736" t="s">
        <v>99</v>
      </c>
      <c r="T351" s="2736" t="s">
        <v>99</v>
      </c>
      <c r="U351" s="2736" t="s">
        <v>100</v>
      </c>
      <c r="V351" s="2736" t="s">
        <v>1081</v>
      </c>
      <c r="W351" s="2736" t="s">
        <v>1082</v>
      </c>
      <c r="X351" s="2736" t="s">
        <v>1083</v>
      </c>
      <c r="Y351" s="2736" t="s">
        <v>1084</v>
      </c>
      <c r="Z351" s="1183"/>
      <c r="AA351" s="1184"/>
      <c r="AB351" s="1184"/>
      <c r="AC351" s="1188"/>
      <c r="AD351" s="1188"/>
      <c r="AE351" s="1189"/>
      <c r="AF351" s="2527"/>
      <c r="AG351" s="2528"/>
      <c r="AH351" s="2528"/>
      <c r="AI351" s="2734"/>
      <c r="AJ351" s="2528"/>
      <c r="AK351" s="2528"/>
      <c r="AL351" s="1993"/>
      <c r="AM351" s="1830"/>
      <c r="AN351" s="1830"/>
      <c r="AO351" s="1830"/>
      <c r="AP351" s="1830"/>
      <c r="AQ351" s="1830"/>
      <c r="AR351" s="1830"/>
      <c r="AS351" s="1830"/>
      <c r="AT351" s="1830"/>
      <c r="AU351" s="1830"/>
      <c r="AV351" s="1830"/>
      <c r="AW351" s="1830"/>
      <c r="AX351" s="1830"/>
      <c r="AY351" s="1830"/>
      <c r="AZ351" s="1830"/>
      <c r="BA351" s="1830"/>
      <c r="BB351" s="1830"/>
      <c r="BC351" s="1830"/>
      <c r="BD351" s="1830"/>
      <c r="BE351" s="1830"/>
      <c r="BF351" s="1830"/>
      <c r="BG351" s="1643"/>
    </row>
    <row customHeight="1" ht="11.25">
      <c r="A352" s="1174" t="s">
        <v>1040</v>
      </c>
      <c r="B352" s="1174"/>
      <c r="C352" s="1174"/>
      <c r="D352" s="1168"/>
      <c r="E352" s="1178"/>
      <c r="F352" s="1836"/>
      <c r="G352" s="1837"/>
      <c r="H352" s="2536" t="s">
        <v>1209</v>
      </c>
      <c r="I352" s="2537"/>
      <c r="J352" s="2739"/>
      <c r="K352" s="2538"/>
      <c r="L352" s="2128"/>
      <c r="M352" s="2129"/>
      <c r="N352" s="2529"/>
      <c r="O352" s="2530"/>
      <c r="P352" s="2532"/>
      <c r="Q352" s="2735"/>
      <c r="R352" s="2534"/>
      <c r="S352" s="2535"/>
      <c r="T352" s="2534"/>
      <c r="U352" s="2534"/>
      <c r="V352" s="2534"/>
      <c r="W352" s="2534"/>
      <c r="X352" s="2534"/>
      <c r="Y352" s="2534"/>
      <c r="Z352" s="1835"/>
      <c r="AA352" s="1801">
        <v>1</v>
      </c>
      <c r="AB352" s="1187" t="s">
        <v>1094</v>
      </c>
      <c r="AC352" s="1177">
        <v>0</v>
      </c>
      <c r="AD352" s="1187" t="str">
        <f>AB352</f>
        <v>      Амортизационные отчисления с выделением результатов переоценки основных средств и нематериальных активов</v>
      </c>
      <c r="AE352" s="1177">
        <v>9085.60711</v>
      </c>
      <c r="AF352" s="2527"/>
      <c r="AG352" s="2528"/>
      <c r="AH352" s="2528"/>
      <c r="AI352" s="2734"/>
      <c r="AJ352" s="2528"/>
      <c r="AK352" s="2528"/>
      <c r="AL352" s="1993"/>
      <c r="AM352" s="1830"/>
      <c r="AN352" s="1830"/>
      <c r="AO352" s="1830"/>
      <c r="AP352" s="1830"/>
      <c r="AQ352" s="1830"/>
      <c r="AR352" s="1830"/>
      <c r="AS352" s="1830"/>
      <c r="AT352" s="1830"/>
      <c r="AU352" s="1830"/>
      <c r="AV352" s="1830"/>
      <c r="AW352" s="1830"/>
      <c r="AX352" s="1830"/>
      <c r="AY352" s="1830"/>
      <c r="AZ352" s="1830"/>
      <c r="BA352" s="1830"/>
      <c r="BB352" s="1830"/>
      <c r="BC352" s="1830"/>
      <c r="BD352" s="1830"/>
      <c r="BE352" s="1830"/>
      <c r="BF352" s="1830"/>
      <c r="BG352" s="1643"/>
    </row>
    <row customHeight="1" ht="11.25">
      <c r="A353" s="1174" t="s">
        <v>1040</v>
      </c>
      <c r="B353" s="1174"/>
      <c r="C353" s="1174"/>
      <c r="D353" s="1168"/>
      <c r="E353" s="1178"/>
      <c r="F353" s="1837"/>
      <c r="G353" s="1837"/>
      <c r="H353" s="1837"/>
      <c r="I353" s="1837"/>
      <c r="J353" s="1837"/>
      <c r="K353" s="1837"/>
      <c r="L353" s="1837"/>
      <c r="M353" s="1837"/>
      <c r="N353" s="1837"/>
      <c r="O353" s="1837"/>
      <c r="P353" s="1837"/>
      <c r="Q353" s="1837"/>
      <c r="R353" s="1837"/>
      <c r="S353" s="1837"/>
      <c r="T353" s="1837"/>
      <c r="U353" s="1837"/>
      <c r="V353" s="1837"/>
      <c r="W353" s="1837"/>
      <c r="X353" s="1837"/>
      <c r="Y353" s="1837"/>
      <c r="Z353" s="691" t="s">
        <v>103</v>
      </c>
      <c r="AA353" s="1821" t="s">
        <v>102</v>
      </c>
      <c r="AB353" s="1187" t="s">
        <v>1085</v>
      </c>
      <c r="AC353" s="1177">
        <v>0</v>
      </c>
      <c r="AD353" s="1187" t="str">
        <f>AB353</f>
        <v>  Прочие собственные средства</v>
      </c>
      <c r="AE353" s="1177">
        <v>1817.12142</v>
      </c>
      <c r="AF353" s="2094"/>
      <c r="AG353" s="1766"/>
      <c r="AH353" s="1766"/>
      <c r="AI353" s="2740"/>
      <c r="AJ353" s="1766"/>
      <c r="AK353" s="1992"/>
      <c r="AL353" s="1993"/>
      <c r="AM353" s="1830"/>
      <c r="AN353" s="1830"/>
      <c r="AO353" s="1830"/>
      <c r="AP353" s="1830"/>
      <c r="AQ353" s="1830"/>
      <c r="AR353" s="1830"/>
      <c r="AS353" s="1830"/>
      <c r="AT353" s="1830"/>
      <c r="AU353" s="1830"/>
      <c r="AV353" s="1830"/>
      <c r="AW353" s="1830"/>
      <c r="AX353" s="1830"/>
      <c r="AY353" s="1830"/>
      <c r="AZ353" s="1830"/>
      <c r="BA353" s="1830"/>
      <c r="BB353" s="1830"/>
      <c r="BC353" s="1830"/>
      <c r="BD353" s="1830"/>
      <c r="BE353" s="1830"/>
      <c r="BF353" s="1830"/>
      <c r="BG353" s="1643"/>
    </row>
    <row customHeight="1" ht="11.25">
      <c r="A354" s="1174" t="s">
        <v>1040</v>
      </c>
      <c r="B354" s="1174"/>
      <c r="C354" s="1174"/>
      <c r="D354" s="1168"/>
      <c r="E354" s="1178"/>
      <c r="F354" s="1836"/>
      <c r="G354" s="1837"/>
      <c r="H354" s="2536" t="s">
        <v>1209</v>
      </c>
      <c r="I354" s="2537"/>
      <c r="J354" s="2739"/>
      <c r="K354" s="2538"/>
      <c r="L354" s="2128"/>
      <c r="M354" s="2129"/>
      <c r="N354" s="2529"/>
      <c r="O354" s="2530"/>
      <c r="P354" s="2533"/>
      <c r="Q354" s="2735"/>
      <c r="R354" s="2534"/>
      <c r="S354" s="2535"/>
      <c r="T354" s="2534"/>
      <c r="U354" s="2534"/>
      <c r="V354" s="2534"/>
      <c r="W354" s="2534"/>
      <c r="X354" s="2534"/>
      <c r="Y354" s="2534"/>
      <c r="Z354" s="1183"/>
      <c r="AA354" s="1184"/>
      <c r="AB354" s="1249" t="s">
        <v>1086</v>
      </c>
      <c r="AC354" s="1188"/>
      <c r="AD354" s="1188"/>
      <c r="AE354" s="1190"/>
      <c r="AF354" s="2527"/>
      <c r="AG354" s="2528"/>
      <c r="AH354" s="2528"/>
      <c r="AI354" s="2734"/>
      <c r="AJ354" s="2528"/>
      <c r="AK354" s="2528"/>
      <c r="AL354" s="1993"/>
      <c r="AM354" s="1830"/>
      <c r="AN354" s="1830"/>
      <c r="AO354" s="1830"/>
      <c r="AP354" s="1830"/>
      <c r="AQ354" s="1830"/>
      <c r="AR354" s="1830"/>
      <c r="AS354" s="1830"/>
      <c r="AT354" s="1830"/>
      <c r="AU354" s="1830"/>
      <c r="AV354" s="1830"/>
      <c r="AW354" s="1830"/>
      <c r="AX354" s="1830"/>
      <c r="AY354" s="1830"/>
      <c r="AZ354" s="1830"/>
      <c r="BA354" s="1830"/>
      <c r="BB354" s="1830"/>
      <c r="BC354" s="1830"/>
      <c r="BD354" s="1830"/>
      <c r="BE354" s="1830"/>
      <c r="BF354" s="1830"/>
      <c r="BG354" s="1643"/>
    </row>
    <row customHeight="1" ht="11.25">
      <c r="A355" s="1174" t="s">
        <v>1040</v>
      </c>
      <c r="B355" s="1174"/>
      <c r="C355" s="1174"/>
      <c r="D355" s="1168"/>
      <c r="E355" s="1178"/>
      <c r="F355" s="1836"/>
      <c r="G355" s="1837"/>
      <c r="H355" s="2536" t="s">
        <v>1209</v>
      </c>
      <c r="I355" s="2537"/>
      <c r="J355" s="2739"/>
      <c r="K355" s="2538"/>
      <c r="L355" s="2128"/>
      <c r="M355" s="2129"/>
      <c r="N355" s="1183"/>
      <c r="O355" s="1184"/>
      <c r="P355" s="1176" t="s">
        <v>1087</v>
      </c>
      <c r="Q355" s="1184"/>
      <c r="R355" s="1184"/>
      <c r="S355" s="1184"/>
      <c r="T355" s="1184"/>
      <c r="U355" s="1184"/>
      <c r="V355" s="1184"/>
      <c r="W355" s="1184"/>
      <c r="X355" s="1184"/>
      <c r="Y355" s="1184"/>
      <c r="Z355" s="1184"/>
      <c r="AA355" s="1184"/>
      <c r="AB355" s="1184"/>
      <c r="AC355" s="1184"/>
      <c r="AD355" s="1184"/>
      <c r="AE355" s="1191"/>
      <c r="AF355" s="2527"/>
      <c r="AG355" s="2528"/>
      <c r="AH355" s="2528"/>
      <c r="AI355" s="2734"/>
      <c r="AJ355" s="2528"/>
      <c r="AK355" s="2528"/>
      <c r="AL355" s="1993"/>
      <c r="AM355" s="1830"/>
      <c r="AN355" s="1830"/>
      <c r="AO355" s="1830"/>
      <c r="AP355" s="1830"/>
      <c r="AQ355" s="1830"/>
      <c r="AR355" s="1830"/>
      <c r="AS355" s="1830"/>
      <c r="AT355" s="1830"/>
      <c r="AU355" s="1830"/>
      <c r="AV355" s="1830"/>
      <c r="AW355" s="1830"/>
      <c r="AX355" s="1830"/>
      <c r="AY355" s="1830"/>
      <c r="AZ355" s="1830"/>
      <c r="BA355" s="1830"/>
      <c r="BB355" s="1830"/>
      <c r="BC355" s="1830"/>
      <c r="BD355" s="1830"/>
      <c r="BE355" s="1830"/>
      <c r="BF355" s="1830"/>
      <c r="BG355" s="1643"/>
    </row>
    <row customHeight="1" ht="11.25">
      <c r="A356" s="1174" t="s">
        <v>1040</v>
      </c>
      <c r="B356" s="1174" t="s">
        <v>22</v>
      </c>
      <c r="C356" s="1174"/>
      <c r="D356" s="1168"/>
      <c r="E356" s="1178"/>
      <c r="F356" s="1836"/>
      <c r="G356" s="691" t="s">
        <v>103</v>
      </c>
      <c r="H356" s="2536" t="s">
        <v>1213</v>
      </c>
      <c r="I356" s="2537" t="s">
        <v>1098</v>
      </c>
      <c r="J356" s="2739" t="s">
        <v>22</v>
      </c>
      <c r="K356" s="2538" t="s">
        <v>1214</v>
      </c>
      <c r="L356" s="2128" t="s">
        <v>19</v>
      </c>
      <c r="M356" s="2129"/>
      <c r="N356" s="1991"/>
      <c r="O356" s="1185" t="s">
        <v>393</v>
      </c>
      <c r="P356" s="1186"/>
      <c r="Q356" s="1186"/>
      <c r="R356" s="1186"/>
      <c r="S356" s="1186"/>
      <c r="T356" s="1186"/>
      <c r="U356" s="1186"/>
      <c r="V356" s="1186"/>
      <c r="W356" s="1186"/>
      <c r="X356" s="1186"/>
      <c r="Y356" s="1186"/>
      <c r="Z356" s="1186"/>
      <c r="AA356" s="1186"/>
      <c r="AB356" s="1186"/>
      <c r="AC356" s="1186"/>
      <c r="AD356" s="1186"/>
      <c r="AE356" s="1186"/>
      <c r="AF356" s="2527">
        <v>1</v>
      </c>
      <c r="AG356" s="2528" t="s">
        <v>1100</v>
      </c>
      <c r="AH356" s="2528" t="s">
        <v>1091</v>
      </c>
      <c r="AI356" s="2527">
        <v>1</v>
      </c>
      <c r="AJ356" s="2528" t="s">
        <v>1092</v>
      </c>
      <c r="AK356" s="2528" t="s">
        <v>1091</v>
      </c>
      <c r="AL356" s="1993"/>
      <c r="AM356" s="1830"/>
      <c r="AN356" s="1830"/>
      <c r="AO356" s="1830"/>
      <c r="AP356" s="1830"/>
      <c r="AQ356" s="1830"/>
      <c r="AR356" s="1830"/>
      <c r="AS356" s="1830"/>
      <c r="AT356" s="1830"/>
      <c r="AU356" s="1830"/>
      <c r="AV356" s="1830"/>
      <c r="AW356" s="1830"/>
      <c r="AX356" s="1830"/>
      <c r="AY356" s="1830"/>
      <c r="AZ356" s="1830"/>
      <c r="BA356" s="1830"/>
      <c r="BB356" s="1830"/>
      <c r="BC356" s="1830"/>
      <c r="BD356" s="1830"/>
      <c r="BE356" s="1830"/>
      <c r="BF356" s="1830"/>
      <c r="BG356" s="1643"/>
    </row>
    <row customHeight="1" ht="11.25">
      <c r="A357" s="1174" t="s">
        <v>1040</v>
      </c>
      <c r="B357" s="1174"/>
      <c r="C357" s="1174"/>
      <c r="D357" s="1168"/>
      <c r="E357" s="1178"/>
      <c r="F357" s="1836"/>
      <c r="G357" s="1837"/>
      <c r="H357" s="2536" t="s">
        <v>1211</v>
      </c>
      <c r="I357" s="2537"/>
      <c r="J357" s="2739"/>
      <c r="K357" s="2538"/>
      <c r="L357" s="2128"/>
      <c r="M357" s="2129"/>
      <c r="N357" s="2529"/>
      <c r="O357" s="2530">
        <v>1</v>
      </c>
      <c r="P357" s="2531" t="s">
        <v>19</v>
      </c>
      <c r="Q357" s="2741" t="s">
        <v>22</v>
      </c>
      <c r="R357" s="2741" t="s">
        <v>22</v>
      </c>
      <c r="S357" s="2741" t="s">
        <v>22</v>
      </c>
      <c r="T357" s="2741" t="s">
        <v>22</v>
      </c>
      <c r="U357" s="2741" t="s">
        <v>22</v>
      </c>
      <c r="V357" s="2741" t="s">
        <v>22</v>
      </c>
      <c r="W357" s="2741" t="s">
        <v>22</v>
      </c>
      <c r="X357" s="2741" t="s">
        <v>22</v>
      </c>
      <c r="Y357" s="2741" t="s">
        <v>22</v>
      </c>
      <c r="Z357" s="1183"/>
      <c r="AA357" s="1184"/>
      <c r="AB357" s="1184"/>
      <c r="AC357" s="1188"/>
      <c r="AD357" s="1188"/>
      <c r="AE357" s="1189"/>
      <c r="AF357" s="2527"/>
      <c r="AG357" s="2528"/>
      <c r="AH357" s="2528"/>
      <c r="AI357" s="2527"/>
      <c r="AJ357" s="2528"/>
      <c r="AK357" s="2528"/>
      <c r="AL357" s="1993"/>
      <c r="AM357" s="1830"/>
      <c r="AN357" s="1830"/>
      <c r="AO357" s="1830"/>
      <c r="AP357" s="1830"/>
      <c r="AQ357" s="1830"/>
      <c r="AR357" s="1830"/>
      <c r="AS357" s="1830"/>
      <c r="AT357" s="1830"/>
      <c r="AU357" s="1830"/>
      <c r="AV357" s="1830"/>
      <c r="AW357" s="1830"/>
      <c r="AX357" s="1830"/>
      <c r="AY357" s="1830"/>
      <c r="AZ357" s="1830"/>
      <c r="BA357" s="1830"/>
      <c r="BB357" s="1830"/>
      <c r="BC357" s="1830"/>
      <c r="BD357" s="1830"/>
      <c r="BE357" s="1830"/>
      <c r="BF357" s="1830"/>
      <c r="BG357" s="1643"/>
    </row>
    <row customHeight="1" ht="11.25">
      <c r="A358" s="1174" t="s">
        <v>1040</v>
      </c>
      <c r="B358" s="1174"/>
      <c r="C358" s="1174"/>
      <c r="D358" s="1168"/>
      <c r="E358" s="1178"/>
      <c r="F358" s="1836"/>
      <c r="G358" s="1837"/>
      <c r="H358" s="2536" t="s">
        <v>1211</v>
      </c>
      <c r="I358" s="2537"/>
      <c r="J358" s="2739"/>
      <c r="K358" s="2538"/>
      <c r="L358" s="2128"/>
      <c r="M358" s="2129"/>
      <c r="N358" s="2529"/>
      <c r="O358" s="2530"/>
      <c r="P358" s="2532"/>
      <c r="Q358" s="2735"/>
      <c r="R358" s="2534"/>
      <c r="S358" s="2535"/>
      <c r="T358" s="2534"/>
      <c r="U358" s="2534"/>
      <c r="V358" s="2534"/>
      <c r="W358" s="2534"/>
      <c r="X358" s="2534"/>
      <c r="Y358" s="2534"/>
      <c r="Z358" s="1835"/>
      <c r="AA358" s="1801">
        <v>1</v>
      </c>
      <c r="AB358" s="1187" t="s">
        <v>1085</v>
      </c>
      <c r="AC358" s="1177">
        <v>0</v>
      </c>
      <c r="AD358" s="1187" t="str">
        <f>AB358</f>
        <v>  Прочие собственные средства</v>
      </c>
      <c r="AE358" s="1177">
        <v>950.852</v>
      </c>
      <c r="AF358" s="2527"/>
      <c r="AG358" s="2528"/>
      <c r="AH358" s="2528"/>
      <c r="AI358" s="2527"/>
      <c r="AJ358" s="2528"/>
      <c r="AK358" s="2528"/>
      <c r="AL358" s="1993"/>
      <c r="AM358" s="1830"/>
      <c r="AN358" s="1830"/>
      <c r="AO358" s="1830"/>
      <c r="AP358" s="1830"/>
      <c r="AQ358" s="1830"/>
      <c r="AR358" s="1830"/>
      <c r="AS358" s="1830"/>
      <c r="AT358" s="1830"/>
      <c r="AU358" s="1830"/>
      <c r="AV358" s="1830"/>
      <c r="AW358" s="1830"/>
      <c r="AX358" s="1830"/>
      <c r="AY358" s="1830"/>
      <c r="AZ358" s="1830"/>
      <c r="BA358" s="1830"/>
      <c r="BB358" s="1830"/>
      <c r="BC358" s="1830"/>
      <c r="BD358" s="1830"/>
      <c r="BE358" s="1830"/>
      <c r="BF358" s="1830"/>
      <c r="BG358" s="1643"/>
    </row>
    <row customHeight="1" ht="11.25">
      <c r="A359" s="1174" t="s">
        <v>1040</v>
      </c>
      <c r="B359" s="1174"/>
      <c r="C359" s="1174"/>
      <c r="D359" s="1168"/>
      <c r="E359" s="1178"/>
      <c r="F359" s="1836"/>
      <c r="G359" s="1837"/>
      <c r="H359" s="2536" t="s">
        <v>1211</v>
      </c>
      <c r="I359" s="2537"/>
      <c r="J359" s="2739"/>
      <c r="K359" s="2538"/>
      <c r="L359" s="2128"/>
      <c r="M359" s="2129"/>
      <c r="N359" s="2529"/>
      <c r="O359" s="2530"/>
      <c r="P359" s="2533"/>
      <c r="Q359" s="2735"/>
      <c r="R359" s="2534"/>
      <c r="S359" s="2535"/>
      <c r="T359" s="2534"/>
      <c r="U359" s="2534"/>
      <c r="V359" s="2534"/>
      <c r="W359" s="2534"/>
      <c r="X359" s="2534"/>
      <c r="Y359" s="2534"/>
      <c r="Z359" s="1183"/>
      <c r="AA359" s="1184"/>
      <c r="AB359" s="1249" t="s">
        <v>1086</v>
      </c>
      <c r="AC359" s="1188"/>
      <c r="AD359" s="1188"/>
      <c r="AE359" s="1190"/>
      <c r="AF359" s="2527"/>
      <c r="AG359" s="2528"/>
      <c r="AH359" s="2528"/>
      <c r="AI359" s="2527"/>
      <c r="AJ359" s="2528"/>
      <c r="AK359" s="2528"/>
      <c r="AL359" s="1993"/>
      <c r="AM359" s="1830"/>
      <c r="AN359" s="1830"/>
      <c r="AO359" s="1830"/>
      <c r="AP359" s="1830"/>
      <c r="AQ359" s="1830"/>
      <c r="AR359" s="1830"/>
      <c r="AS359" s="1830"/>
      <c r="AT359" s="1830"/>
      <c r="AU359" s="1830"/>
      <c r="AV359" s="1830"/>
      <c r="AW359" s="1830"/>
      <c r="AX359" s="1830"/>
      <c r="AY359" s="1830"/>
      <c r="AZ359" s="1830"/>
      <c r="BA359" s="1830"/>
      <c r="BB359" s="1830"/>
      <c r="BC359" s="1830"/>
      <c r="BD359" s="1830"/>
      <c r="BE359" s="1830"/>
      <c r="BF359" s="1830"/>
      <c r="BG359" s="1643"/>
    </row>
    <row customHeight="1" ht="11.25">
      <c r="A360" s="1174" t="s">
        <v>1040</v>
      </c>
      <c r="B360" s="1174"/>
      <c r="C360" s="1174"/>
      <c r="D360" s="1168"/>
      <c r="E360" s="1178"/>
      <c r="F360" s="1836"/>
      <c r="G360" s="1837"/>
      <c r="H360" s="2536" t="s">
        <v>1211</v>
      </c>
      <c r="I360" s="2537"/>
      <c r="J360" s="2739"/>
      <c r="K360" s="2538"/>
      <c r="L360" s="2128"/>
      <c r="M360" s="2129"/>
      <c r="N360" s="1183"/>
      <c r="O360" s="1184"/>
      <c r="P360" s="1176" t="s">
        <v>1087</v>
      </c>
      <c r="Q360" s="1184"/>
      <c r="R360" s="1184"/>
      <c r="S360" s="1184"/>
      <c r="T360" s="1184"/>
      <c r="U360" s="1184"/>
      <c r="V360" s="1184"/>
      <c r="W360" s="1184"/>
      <c r="X360" s="1184"/>
      <c r="Y360" s="1184"/>
      <c r="Z360" s="1184"/>
      <c r="AA360" s="1184"/>
      <c r="AB360" s="1184"/>
      <c r="AC360" s="1184"/>
      <c r="AD360" s="1184"/>
      <c r="AE360" s="1191"/>
      <c r="AF360" s="2527"/>
      <c r="AG360" s="2528"/>
      <c r="AH360" s="2528"/>
      <c r="AI360" s="2527"/>
      <c r="AJ360" s="2528"/>
      <c r="AK360" s="2528"/>
      <c r="AL360" s="1993"/>
      <c r="AM360" s="1830"/>
      <c r="AN360" s="1830"/>
      <c r="AO360" s="1830"/>
      <c r="AP360" s="1830"/>
      <c r="AQ360" s="1830"/>
      <c r="AR360" s="1830"/>
      <c r="AS360" s="1830"/>
      <c r="AT360" s="1830"/>
      <c r="AU360" s="1830"/>
      <c r="AV360" s="1830"/>
      <c r="AW360" s="1830"/>
      <c r="AX360" s="1830"/>
      <c r="AY360" s="1830"/>
      <c r="AZ360" s="1830"/>
      <c r="BA360" s="1830"/>
      <c r="BB360" s="1830"/>
      <c r="BC360" s="1830"/>
      <c r="BD360" s="1830"/>
      <c r="BE360" s="1830"/>
      <c r="BF360" s="1830"/>
      <c r="BG360" s="1643"/>
    </row>
    <row customHeight="1" ht="12">
      <c r="A361" s="1174" t="s">
        <v>1040</v>
      </c>
      <c r="B361" s="1174"/>
      <c r="C361" s="1174"/>
      <c r="D361" s="1168"/>
      <c r="E361" s="1178"/>
      <c r="F361" s="2558"/>
      <c r="G361" s="1198"/>
      <c r="H361" s="1198"/>
      <c r="I361" s="2556" t="s">
        <v>1215</v>
      </c>
      <c r="J361" s="2556"/>
      <c r="K361" s="2556"/>
      <c r="L361" s="1181"/>
      <c r="M361" s="1181"/>
      <c r="N361" s="1182"/>
      <c r="O361" s="1182"/>
      <c r="P361" s="1182"/>
      <c r="Q361" s="1182"/>
      <c r="R361" s="1182"/>
      <c r="S361" s="1182"/>
      <c r="T361" s="1182"/>
      <c r="U361" s="1182"/>
      <c r="V361" s="1182"/>
      <c r="W361" s="1182"/>
      <c r="X361" s="1182"/>
      <c r="Y361" s="1182"/>
      <c r="Z361" s="1182"/>
      <c r="AA361" s="1182"/>
      <c r="AB361" s="1182"/>
      <c r="AC361" s="1182"/>
      <c r="AD361" s="1182"/>
      <c r="AE361" s="1182"/>
      <c r="AF361" s="1182"/>
      <c r="AG361" s="1181"/>
      <c r="AH361" s="1181"/>
      <c r="AI361" s="1182"/>
      <c r="AJ361" s="1181"/>
      <c r="AK361" s="1182"/>
      <c r="AL361" s="1993"/>
      <c r="AM361" s="1830"/>
      <c r="AN361" s="1830"/>
      <c r="AO361" s="1830"/>
      <c r="AP361" s="1830"/>
      <c r="AQ361" s="1830"/>
      <c r="AR361" s="1830"/>
      <c r="AS361" s="1830"/>
      <c r="AT361" s="1830"/>
      <c r="AU361" s="1830"/>
      <c r="AV361" s="1830"/>
      <c r="AW361" s="1830"/>
      <c r="AX361" s="1830"/>
      <c r="AY361" s="1830"/>
      <c r="AZ361" s="1830"/>
      <c r="BA361" s="1830"/>
      <c r="BB361" s="1830"/>
      <c r="BC361" s="1830"/>
      <c r="BD361" s="1830"/>
      <c r="BE361" s="1830"/>
      <c r="BF361" s="1830"/>
      <c r="BG361" s="1643"/>
    </row>
    <row customHeight="1" ht="0.75">
      <c r="A362" s="1174" t="s">
        <v>1040</v>
      </c>
      <c r="B362" s="1174"/>
      <c r="C362" s="1174"/>
      <c r="D362" s="1168"/>
      <c r="E362" s="1178"/>
      <c r="F362" s="2557">
        <v>2025</v>
      </c>
      <c r="G362" s="2536"/>
      <c r="H362" s="2561" t="s">
        <v>393</v>
      </c>
      <c r="I362" s="2562"/>
      <c r="J362" s="2563"/>
      <c r="K362" s="2563"/>
      <c r="L362" s="2555"/>
      <c r="M362" s="2289"/>
      <c r="N362" s="2041"/>
      <c r="O362" s="2040"/>
      <c r="P362" s="2041"/>
      <c r="Q362" s="2041"/>
      <c r="R362" s="2041"/>
      <c r="S362" s="2041"/>
      <c r="T362" s="2041"/>
      <c r="U362" s="2041"/>
      <c r="V362" s="2041"/>
      <c r="W362" s="2041"/>
      <c r="X362" s="2041"/>
      <c r="Y362" s="2041"/>
      <c r="Z362" s="2041"/>
      <c r="AA362" s="2041"/>
      <c r="AB362" s="2041"/>
      <c r="AC362" s="2041"/>
      <c r="AD362" s="2041"/>
      <c r="AE362" s="2041"/>
      <c r="AF362" s="2559"/>
      <c r="AG362" s="2555"/>
      <c r="AH362" s="2555"/>
      <c r="AI362" s="2559"/>
      <c r="AJ362" s="2555"/>
      <c r="AK362" s="2555"/>
      <c r="AL362" s="1993"/>
      <c r="AM362" s="1830"/>
      <c r="AN362" s="1830"/>
      <c r="AO362" s="1830"/>
      <c r="AP362" s="1830"/>
      <c r="AQ362" s="1830"/>
      <c r="AR362" s="1830"/>
      <c r="AS362" s="1830"/>
      <c r="AT362" s="1830"/>
      <c r="AU362" s="1830"/>
      <c r="AV362" s="1830"/>
      <c r="AW362" s="1830"/>
      <c r="AX362" s="1830"/>
      <c r="AY362" s="1830"/>
      <c r="AZ362" s="1830"/>
      <c r="BA362" s="1830"/>
      <c r="BB362" s="1830"/>
      <c r="BC362" s="1830"/>
      <c r="BD362" s="1830"/>
      <c r="BE362" s="1830"/>
      <c r="BF362" s="1830"/>
      <c r="BG362" s="1643"/>
    </row>
    <row customHeight="1" ht="0.75">
      <c r="A363" s="1174" t="s">
        <v>1040</v>
      </c>
      <c r="B363" s="1174"/>
      <c r="C363" s="1174"/>
      <c r="D363" s="1168"/>
      <c r="E363" s="1178"/>
      <c r="F363" s="2557"/>
      <c r="G363" s="2536"/>
      <c r="H363" s="2561"/>
      <c r="I363" s="2562"/>
      <c r="J363" s="2563"/>
      <c r="K363" s="2563"/>
      <c r="L363" s="2555"/>
      <c r="M363" s="2289"/>
      <c r="N363" s="2564"/>
      <c r="O363" s="2565"/>
      <c r="P363" s="2609"/>
      <c r="Q363" s="2560"/>
      <c r="R363" s="2560"/>
      <c r="S363" s="2560"/>
      <c r="T363" s="2560"/>
      <c r="U363" s="2560"/>
      <c r="V363" s="2560"/>
      <c r="W363" s="2560"/>
      <c r="X363" s="2560"/>
      <c r="Y363" s="2560"/>
      <c r="Z363" s="2042"/>
      <c r="AA363" s="2043"/>
      <c r="AB363" s="2043"/>
      <c r="AC363" s="2044"/>
      <c r="AD363" s="2044"/>
      <c r="AE363" s="2045"/>
      <c r="AF363" s="2559"/>
      <c r="AG363" s="2555"/>
      <c r="AH363" s="2555"/>
      <c r="AI363" s="2559"/>
      <c r="AJ363" s="2555"/>
      <c r="AK363" s="2555"/>
      <c r="AL363" s="1993"/>
      <c r="AM363" s="1830"/>
      <c r="AN363" s="1830"/>
      <c r="AO363" s="1830"/>
      <c r="AP363" s="1830"/>
      <c r="AQ363" s="1830"/>
      <c r="AR363" s="1830"/>
      <c r="AS363" s="1830"/>
      <c r="AT363" s="1830"/>
      <c r="AU363" s="1830"/>
      <c r="AV363" s="1830"/>
      <c r="AW363" s="1830"/>
      <c r="AX363" s="1830"/>
      <c r="AY363" s="1830"/>
      <c r="AZ363" s="1830"/>
      <c r="BA363" s="1830"/>
      <c r="BB363" s="1830"/>
      <c r="BC363" s="1830"/>
      <c r="BD363" s="1830"/>
      <c r="BE363" s="1830"/>
      <c r="BF363" s="1830"/>
      <c r="BG363" s="1643"/>
    </row>
    <row customHeight="1" ht="0.75">
      <c r="A364" s="1174" t="s">
        <v>1040</v>
      </c>
      <c r="B364" s="1174"/>
      <c r="C364" s="1174"/>
      <c r="D364" s="1168"/>
      <c r="E364" s="1178"/>
      <c r="F364" s="2557"/>
      <c r="G364" s="2536"/>
      <c r="H364" s="2561"/>
      <c r="I364" s="2562"/>
      <c r="J364" s="2563"/>
      <c r="K364" s="2563"/>
      <c r="L364" s="2555"/>
      <c r="M364" s="2289"/>
      <c r="N364" s="2564"/>
      <c r="O364" s="2565"/>
      <c r="P364" s="2610"/>
      <c r="Q364" s="2560"/>
      <c r="R364" s="2560"/>
      <c r="S364" s="2560"/>
      <c r="T364" s="2560"/>
      <c r="U364" s="2560"/>
      <c r="V364" s="2560"/>
      <c r="W364" s="2560"/>
      <c r="X364" s="2560"/>
      <c r="Y364" s="2560"/>
      <c r="Z364" s="2046"/>
      <c r="AA364" s="2047"/>
      <c r="AB364" s="2048"/>
      <c r="AC364" s="2049"/>
      <c r="AD364" s="2048"/>
      <c r="AE364" s="2049"/>
      <c r="AF364" s="2559"/>
      <c r="AG364" s="2555"/>
      <c r="AH364" s="2555"/>
      <c r="AI364" s="2559"/>
      <c r="AJ364" s="2555"/>
      <c r="AK364" s="2555"/>
      <c r="AL364" s="1993"/>
      <c r="AM364" s="1830"/>
      <c r="AN364" s="1830"/>
      <c r="AO364" s="1830"/>
      <c r="AP364" s="1830"/>
      <c r="AQ364" s="1830"/>
      <c r="AR364" s="1830"/>
      <c r="AS364" s="1830"/>
      <c r="AT364" s="1830"/>
      <c r="AU364" s="1830"/>
      <c r="AV364" s="1830"/>
      <c r="AW364" s="1830"/>
      <c r="AX364" s="1830"/>
      <c r="AY364" s="1830"/>
      <c r="AZ364" s="1830"/>
      <c r="BA364" s="1830"/>
      <c r="BB364" s="1830"/>
      <c r="BC364" s="1830"/>
      <c r="BD364" s="1830"/>
      <c r="BE364" s="1830"/>
      <c r="BF364" s="1830"/>
      <c r="BG364" s="1643"/>
    </row>
    <row customHeight="1" ht="0.75">
      <c r="A365" s="1174" t="s">
        <v>1040</v>
      </c>
      <c r="B365" s="1174"/>
      <c r="C365" s="1174"/>
      <c r="D365" s="1168"/>
      <c r="E365" s="1178"/>
      <c r="F365" s="2557"/>
      <c r="G365" s="2536"/>
      <c r="H365" s="2561"/>
      <c r="I365" s="2562"/>
      <c r="J365" s="2563"/>
      <c r="K365" s="2563"/>
      <c r="L365" s="2555"/>
      <c r="M365" s="2289"/>
      <c r="N365" s="2564"/>
      <c r="O365" s="2565"/>
      <c r="P365" s="2611"/>
      <c r="Q365" s="2560"/>
      <c r="R365" s="2560"/>
      <c r="S365" s="2560"/>
      <c r="T365" s="2560"/>
      <c r="U365" s="2560"/>
      <c r="V365" s="2560"/>
      <c r="W365" s="2560"/>
      <c r="X365" s="2560"/>
      <c r="Y365" s="2560"/>
      <c r="Z365" s="2042"/>
      <c r="AA365" s="2043"/>
      <c r="AB365" s="2050"/>
      <c r="AC365" s="2044"/>
      <c r="AD365" s="2044"/>
      <c r="AE365" s="2051"/>
      <c r="AF365" s="2559"/>
      <c r="AG365" s="2555"/>
      <c r="AH365" s="2555"/>
      <c r="AI365" s="2559"/>
      <c r="AJ365" s="2555"/>
      <c r="AK365" s="2555"/>
      <c r="AL365" s="1993"/>
      <c r="AM365" s="1830"/>
      <c r="AN365" s="1830"/>
      <c r="AO365" s="1830"/>
      <c r="AP365" s="1830"/>
      <c r="AQ365" s="1830"/>
      <c r="AR365" s="1830"/>
      <c r="AS365" s="1830"/>
      <c r="AT365" s="1830"/>
      <c r="AU365" s="1830"/>
      <c r="AV365" s="1830"/>
      <c r="AW365" s="1830"/>
      <c r="AX365" s="1830"/>
      <c r="AY365" s="1830"/>
      <c r="AZ365" s="1830"/>
      <c r="BA365" s="1830"/>
      <c r="BB365" s="1830"/>
      <c r="BC365" s="1830"/>
      <c r="BD365" s="1830"/>
      <c r="BE365" s="1830"/>
      <c r="BF365" s="1830"/>
      <c r="BG365" s="1643"/>
    </row>
    <row customHeight="1" ht="0.75">
      <c r="A366" s="1174" t="s">
        <v>1040</v>
      </c>
      <c r="B366" s="1174"/>
      <c r="C366" s="1174"/>
      <c r="D366" s="1168"/>
      <c r="E366" s="1178"/>
      <c r="F366" s="2557"/>
      <c r="G366" s="2536"/>
      <c r="H366" s="2561"/>
      <c r="I366" s="2562"/>
      <c r="J366" s="2563"/>
      <c r="K366" s="2563"/>
      <c r="L366" s="2555"/>
      <c r="M366" s="2289"/>
      <c r="N366" s="2043"/>
      <c r="O366" s="2043"/>
      <c r="P366" s="2050"/>
      <c r="Q366" s="2043"/>
      <c r="R366" s="2043"/>
      <c r="S366" s="2043"/>
      <c r="T366" s="2043"/>
      <c r="U366" s="2043"/>
      <c r="V366" s="2043"/>
      <c r="W366" s="2043"/>
      <c r="X366" s="2043"/>
      <c r="Y366" s="2043"/>
      <c r="Z366" s="2043"/>
      <c r="AA366" s="2043"/>
      <c r="AB366" s="2043"/>
      <c r="AC366" s="2043"/>
      <c r="AD366" s="2043"/>
      <c r="AE366" s="2052"/>
      <c r="AF366" s="2559"/>
      <c r="AG366" s="2555"/>
      <c r="AH366" s="2555"/>
      <c r="AI366" s="2559"/>
      <c r="AJ366" s="2555"/>
      <c r="AK366" s="2555"/>
      <c r="AL366" s="1993"/>
      <c r="AM366" s="1830"/>
      <c r="AN366" s="1830"/>
      <c r="AO366" s="1830"/>
      <c r="AP366" s="1830"/>
      <c r="AQ366" s="1830"/>
      <c r="AR366" s="1830"/>
      <c r="AS366" s="1830"/>
      <c r="AT366" s="1830"/>
      <c r="AU366" s="1830"/>
      <c r="AV366" s="1830"/>
      <c r="AW366" s="1830"/>
      <c r="AX366" s="1830"/>
      <c r="AY366" s="1830"/>
      <c r="AZ366" s="1830"/>
      <c r="BA366" s="1830"/>
      <c r="BB366" s="1830"/>
      <c r="BC366" s="1830"/>
      <c r="BD366" s="1830"/>
      <c r="BE366" s="1830"/>
      <c r="BF366" s="1830"/>
      <c r="BG366" s="1643"/>
    </row>
    <row customHeight="1" ht="12">
      <c r="A367" s="1174" t="s">
        <v>1040</v>
      </c>
      <c r="B367" s="1174"/>
      <c r="C367" s="1174"/>
      <c r="D367" s="1168"/>
      <c r="E367" s="1178"/>
      <c r="F367" s="2558"/>
      <c r="G367" s="1198"/>
      <c r="H367" s="1198"/>
      <c r="I367" s="2556" t="s">
        <v>1215</v>
      </c>
      <c r="J367" s="2556"/>
      <c r="K367" s="2556"/>
      <c r="L367" s="1181"/>
      <c r="M367" s="1181"/>
      <c r="N367" s="1182"/>
      <c r="O367" s="1182"/>
      <c r="P367" s="1182"/>
      <c r="Q367" s="1182"/>
      <c r="R367" s="1182"/>
      <c r="S367" s="1182"/>
      <c r="T367" s="1182"/>
      <c r="U367" s="1182"/>
      <c r="V367" s="1182"/>
      <c r="W367" s="1182"/>
      <c r="X367" s="1182"/>
      <c r="Y367" s="1182"/>
      <c r="Z367" s="1182"/>
      <c r="AA367" s="1182"/>
      <c r="AB367" s="1182"/>
      <c r="AC367" s="1182"/>
      <c r="AD367" s="1182"/>
      <c r="AE367" s="1182"/>
      <c r="AF367" s="1182"/>
      <c r="AG367" s="1181"/>
      <c r="AH367" s="1181"/>
      <c r="AI367" s="1182"/>
      <c r="AJ367" s="1181"/>
      <c r="AK367" s="1182"/>
      <c r="AL367" s="1993"/>
      <c r="AM367" s="1830"/>
      <c r="AN367" s="1830"/>
      <c r="AO367" s="1830"/>
      <c r="AP367" s="1830"/>
      <c r="AQ367" s="1830"/>
      <c r="AR367" s="1830"/>
      <c r="AS367" s="1830"/>
      <c r="AT367" s="1830"/>
      <c r="AU367" s="1830"/>
      <c r="AV367" s="1830"/>
      <c r="AW367" s="1830"/>
      <c r="AX367" s="1830"/>
      <c r="AY367" s="1830"/>
      <c r="AZ367" s="1830"/>
      <c r="BA367" s="1830"/>
      <c r="BB367" s="1830"/>
      <c r="BC367" s="1830"/>
      <c r="BD367" s="1830"/>
      <c r="BE367" s="1830"/>
      <c r="BF367" s="1830"/>
      <c r="BG367" s="1643"/>
    </row>
    <row customHeight="1" ht="0.75">
      <c r="A368" s="1174" t="s">
        <v>1040</v>
      </c>
      <c r="B368" s="1174"/>
      <c r="C368" s="1174"/>
      <c r="D368" s="1168"/>
      <c r="E368" s="1178"/>
      <c r="F368" s="2557">
        <v>2026</v>
      </c>
      <c r="G368" s="2536"/>
      <c r="H368" s="2561" t="s">
        <v>393</v>
      </c>
      <c r="I368" s="2562"/>
      <c r="J368" s="2563"/>
      <c r="K368" s="2563"/>
      <c r="L368" s="2555"/>
      <c r="M368" s="2289"/>
      <c r="N368" s="2041"/>
      <c r="O368" s="2040"/>
      <c r="P368" s="2041"/>
      <c r="Q368" s="2041"/>
      <c r="R368" s="2041"/>
      <c r="S368" s="2041"/>
      <c r="T368" s="2041"/>
      <c r="U368" s="2041"/>
      <c r="V368" s="2041"/>
      <c r="W368" s="2041"/>
      <c r="X368" s="2041"/>
      <c r="Y368" s="2041"/>
      <c r="Z368" s="2041"/>
      <c r="AA368" s="2041"/>
      <c r="AB368" s="2041"/>
      <c r="AC368" s="2041"/>
      <c r="AD368" s="2041"/>
      <c r="AE368" s="2041"/>
      <c r="AF368" s="2559"/>
      <c r="AG368" s="2555"/>
      <c r="AH368" s="2555"/>
      <c r="AI368" s="2559"/>
      <c r="AJ368" s="2555"/>
      <c r="AK368" s="2555"/>
      <c r="AL368" s="1993"/>
      <c r="AM368" s="1830"/>
      <c r="AN368" s="1830"/>
      <c r="AO368" s="1830"/>
      <c r="AP368" s="1830"/>
      <c r="AQ368" s="1830"/>
      <c r="AR368" s="1830"/>
      <c r="AS368" s="1830"/>
      <c r="AT368" s="1830"/>
      <c r="AU368" s="1830"/>
      <c r="AV368" s="1830"/>
      <c r="AW368" s="1830"/>
      <c r="AX368" s="1830"/>
      <c r="AY368" s="1830"/>
      <c r="AZ368" s="1830"/>
      <c r="BA368" s="1830"/>
      <c r="BB368" s="1830"/>
      <c r="BC368" s="1830"/>
      <c r="BD368" s="1830"/>
      <c r="BE368" s="1830"/>
      <c r="BF368" s="1830"/>
      <c r="BG368" s="1643"/>
    </row>
    <row customHeight="1" ht="0.75">
      <c r="A369" s="1174" t="s">
        <v>1040</v>
      </c>
      <c r="B369" s="1174"/>
      <c r="C369" s="1174"/>
      <c r="D369" s="1168"/>
      <c r="E369" s="1178"/>
      <c r="F369" s="2557"/>
      <c r="G369" s="2536"/>
      <c r="H369" s="2561"/>
      <c r="I369" s="2562"/>
      <c r="J369" s="2563"/>
      <c r="K369" s="2563"/>
      <c r="L369" s="2555"/>
      <c r="M369" s="2289"/>
      <c r="N369" s="2564"/>
      <c r="O369" s="2565"/>
      <c r="P369" s="2609"/>
      <c r="Q369" s="2560"/>
      <c r="R369" s="2560"/>
      <c r="S369" s="2560"/>
      <c r="T369" s="2560"/>
      <c r="U369" s="2560"/>
      <c r="V369" s="2560"/>
      <c r="W369" s="2560"/>
      <c r="X369" s="2560"/>
      <c r="Y369" s="2560"/>
      <c r="Z369" s="2042"/>
      <c r="AA369" s="2043"/>
      <c r="AB369" s="2043"/>
      <c r="AC369" s="2044"/>
      <c r="AD369" s="2044"/>
      <c r="AE369" s="2045"/>
      <c r="AF369" s="2559"/>
      <c r="AG369" s="2555"/>
      <c r="AH369" s="2555"/>
      <c r="AI369" s="2559"/>
      <c r="AJ369" s="2555"/>
      <c r="AK369" s="2555"/>
      <c r="AL369" s="1993"/>
      <c r="AM369" s="1830"/>
      <c r="AN369" s="1830"/>
      <c r="AO369" s="1830"/>
      <c r="AP369" s="1830"/>
      <c r="AQ369" s="1830"/>
      <c r="AR369" s="1830"/>
      <c r="AS369" s="1830"/>
      <c r="AT369" s="1830"/>
      <c r="AU369" s="1830"/>
      <c r="AV369" s="1830"/>
      <c r="AW369" s="1830"/>
      <c r="AX369" s="1830"/>
      <c r="AY369" s="1830"/>
      <c r="AZ369" s="1830"/>
      <c r="BA369" s="1830"/>
      <c r="BB369" s="1830"/>
      <c r="BC369" s="1830"/>
      <c r="BD369" s="1830"/>
      <c r="BE369" s="1830"/>
      <c r="BF369" s="1830"/>
      <c r="BG369" s="1643"/>
    </row>
    <row customHeight="1" ht="0.75">
      <c r="A370" s="1174" t="s">
        <v>1040</v>
      </c>
      <c r="B370" s="1174"/>
      <c r="C370" s="1174"/>
      <c r="D370" s="1168"/>
      <c r="E370" s="1178"/>
      <c r="F370" s="2557"/>
      <c r="G370" s="2536"/>
      <c r="H370" s="2561"/>
      <c r="I370" s="2562"/>
      <c r="J370" s="2563"/>
      <c r="K370" s="2563"/>
      <c r="L370" s="2555"/>
      <c r="M370" s="2289"/>
      <c r="N370" s="2564"/>
      <c r="O370" s="2565"/>
      <c r="P370" s="2610"/>
      <c r="Q370" s="2560"/>
      <c r="R370" s="2560"/>
      <c r="S370" s="2560"/>
      <c r="T370" s="2560"/>
      <c r="U370" s="2560"/>
      <c r="V370" s="2560"/>
      <c r="W370" s="2560"/>
      <c r="X370" s="2560"/>
      <c r="Y370" s="2560"/>
      <c r="Z370" s="2046"/>
      <c r="AA370" s="2047"/>
      <c r="AB370" s="2048"/>
      <c r="AC370" s="2049"/>
      <c r="AD370" s="2048"/>
      <c r="AE370" s="2049"/>
      <c r="AF370" s="2559"/>
      <c r="AG370" s="2555"/>
      <c r="AH370" s="2555"/>
      <c r="AI370" s="2559"/>
      <c r="AJ370" s="2555"/>
      <c r="AK370" s="2555"/>
      <c r="AL370" s="1993"/>
      <c r="AM370" s="1830"/>
      <c r="AN370" s="1830"/>
      <c r="AO370" s="1830"/>
      <c r="AP370" s="1830"/>
      <c r="AQ370" s="1830"/>
      <c r="AR370" s="1830"/>
      <c r="AS370" s="1830"/>
      <c r="AT370" s="1830"/>
      <c r="AU370" s="1830"/>
      <c r="AV370" s="1830"/>
      <c r="AW370" s="1830"/>
      <c r="AX370" s="1830"/>
      <c r="AY370" s="1830"/>
      <c r="AZ370" s="1830"/>
      <c r="BA370" s="1830"/>
      <c r="BB370" s="1830"/>
      <c r="BC370" s="1830"/>
      <c r="BD370" s="1830"/>
      <c r="BE370" s="1830"/>
      <c r="BF370" s="1830"/>
      <c r="BG370" s="1643"/>
    </row>
    <row customHeight="1" ht="0.75">
      <c r="A371" s="1174" t="s">
        <v>1040</v>
      </c>
      <c r="B371" s="1174"/>
      <c r="C371" s="1174"/>
      <c r="D371" s="1168"/>
      <c r="E371" s="1178"/>
      <c r="F371" s="2557"/>
      <c r="G371" s="2536"/>
      <c r="H371" s="2561"/>
      <c r="I371" s="2562"/>
      <c r="J371" s="2563"/>
      <c r="K371" s="2563"/>
      <c r="L371" s="2555"/>
      <c r="M371" s="2289"/>
      <c r="N371" s="2564"/>
      <c r="O371" s="2565"/>
      <c r="P371" s="2611"/>
      <c r="Q371" s="2560"/>
      <c r="R371" s="2560"/>
      <c r="S371" s="2560"/>
      <c r="T371" s="2560"/>
      <c r="U371" s="2560"/>
      <c r="V371" s="2560"/>
      <c r="W371" s="2560"/>
      <c r="X371" s="2560"/>
      <c r="Y371" s="2560"/>
      <c r="Z371" s="2042"/>
      <c r="AA371" s="2043"/>
      <c r="AB371" s="2050"/>
      <c r="AC371" s="2044"/>
      <c r="AD371" s="2044"/>
      <c r="AE371" s="2051"/>
      <c r="AF371" s="2559"/>
      <c r="AG371" s="2555"/>
      <c r="AH371" s="2555"/>
      <c r="AI371" s="2559"/>
      <c r="AJ371" s="2555"/>
      <c r="AK371" s="2555"/>
      <c r="AL371" s="1993"/>
      <c r="AM371" s="1830"/>
      <c r="AN371" s="1830"/>
      <c r="AO371" s="1830"/>
      <c r="AP371" s="1830"/>
      <c r="AQ371" s="1830"/>
      <c r="AR371" s="1830"/>
      <c r="AS371" s="1830"/>
      <c r="AT371" s="1830"/>
      <c r="AU371" s="1830"/>
      <c r="AV371" s="1830"/>
      <c r="AW371" s="1830"/>
      <c r="AX371" s="1830"/>
      <c r="AY371" s="1830"/>
      <c r="AZ371" s="1830"/>
      <c r="BA371" s="1830"/>
      <c r="BB371" s="1830"/>
      <c r="BC371" s="1830"/>
      <c r="BD371" s="1830"/>
      <c r="BE371" s="1830"/>
      <c r="BF371" s="1830"/>
      <c r="BG371" s="1643"/>
    </row>
    <row customHeight="1" ht="0.75">
      <c r="A372" s="1174" t="s">
        <v>1040</v>
      </c>
      <c r="B372" s="1174"/>
      <c r="C372" s="1174"/>
      <c r="D372" s="1168"/>
      <c r="E372" s="1178"/>
      <c r="F372" s="2557"/>
      <c r="G372" s="2536"/>
      <c r="H372" s="2561"/>
      <c r="I372" s="2562"/>
      <c r="J372" s="2563"/>
      <c r="K372" s="2563"/>
      <c r="L372" s="2555"/>
      <c r="M372" s="2289"/>
      <c r="N372" s="2043"/>
      <c r="O372" s="2043"/>
      <c r="P372" s="2050"/>
      <c r="Q372" s="2043"/>
      <c r="R372" s="2043"/>
      <c r="S372" s="2043"/>
      <c r="T372" s="2043"/>
      <c r="U372" s="2043"/>
      <c r="V372" s="2043"/>
      <c r="W372" s="2043"/>
      <c r="X372" s="2043"/>
      <c r="Y372" s="2043"/>
      <c r="Z372" s="2043"/>
      <c r="AA372" s="2043"/>
      <c r="AB372" s="2043"/>
      <c r="AC372" s="2043"/>
      <c r="AD372" s="2043"/>
      <c r="AE372" s="2052"/>
      <c r="AF372" s="2559"/>
      <c r="AG372" s="2555"/>
      <c r="AH372" s="2555"/>
      <c r="AI372" s="2559"/>
      <c r="AJ372" s="2555"/>
      <c r="AK372" s="2555"/>
      <c r="AL372" s="1993"/>
      <c r="AM372" s="1830"/>
      <c r="AN372" s="1830"/>
      <c r="AO372" s="1830"/>
      <c r="AP372" s="1830"/>
      <c r="AQ372" s="1830"/>
      <c r="AR372" s="1830"/>
      <c r="AS372" s="1830"/>
      <c r="AT372" s="1830"/>
      <c r="AU372" s="1830"/>
      <c r="AV372" s="1830"/>
      <c r="AW372" s="1830"/>
      <c r="AX372" s="1830"/>
      <c r="AY372" s="1830"/>
      <c r="AZ372" s="1830"/>
      <c r="BA372" s="1830"/>
      <c r="BB372" s="1830"/>
      <c r="BC372" s="1830"/>
      <c r="BD372" s="1830"/>
      <c r="BE372" s="1830"/>
      <c r="BF372" s="1830"/>
      <c r="BG372" s="1643"/>
    </row>
    <row customHeight="1" ht="12">
      <c r="A373" s="1174" t="s">
        <v>1040</v>
      </c>
      <c r="B373" s="1174"/>
      <c r="C373" s="1174"/>
      <c r="D373" s="1168"/>
      <c r="E373" s="1178"/>
      <c r="F373" s="2558"/>
      <c r="G373" s="1198"/>
      <c r="H373" s="1198"/>
      <c r="I373" s="2556" t="s">
        <v>1215</v>
      </c>
      <c r="J373" s="2556"/>
      <c r="K373" s="2556"/>
      <c r="L373" s="1181"/>
      <c r="M373" s="1181"/>
      <c r="N373" s="1182"/>
      <c r="O373" s="1182"/>
      <c r="P373" s="1182"/>
      <c r="Q373" s="1182"/>
      <c r="R373" s="1182"/>
      <c r="S373" s="1182"/>
      <c r="T373" s="1182"/>
      <c r="U373" s="1182"/>
      <c r="V373" s="1182"/>
      <c r="W373" s="1182"/>
      <c r="X373" s="1182"/>
      <c r="Y373" s="1182"/>
      <c r="Z373" s="1182"/>
      <c r="AA373" s="1182"/>
      <c r="AB373" s="1182"/>
      <c r="AC373" s="1182"/>
      <c r="AD373" s="1182"/>
      <c r="AE373" s="1182"/>
      <c r="AF373" s="1182"/>
      <c r="AG373" s="1181"/>
      <c r="AH373" s="1181"/>
      <c r="AI373" s="1182"/>
      <c r="AJ373" s="1181"/>
      <c r="AK373" s="1182"/>
      <c r="AL373" s="1993"/>
      <c r="AM373" s="1830"/>
      <c r="AN373" s="1830"/>
      <c r="AO373" s="1830"/>
      <c r="AP373" s="1830"/>
      <c r="AQ373" s="1830"/>
      <c r="AR373" s="1830"/>
      <c r="AS373" s="1830"/>
      <c r="AT373" s="1830"/>
      <c r="AU373" s="1830"/>
      <c r="AV373" s="1830"/>
      <c r="AW373" s="1830"/>
      <c r="AX373" s="1830"/>
      <c r="AY373" s="1830"/>
      <c r="AZ373" s="1830"/>
      <c r="BA373" s="1830"/>
      <c r="BB373" s="1830"/>
      <c r="BC373" s="1830"/>
      <c r="BD373" s="1830"/>
      <c r="BE373" s="1830"/>
      <c r="BF373" s="1830"/>
      <c r="BG373" s="1643"/>
    </row>
    <row customHeight="1" ht="0.75">
      <c r="A374" s="1174" t="s">
        <v>1040</v>
      </c>
      <c r="B374" s="1174"/>
      <c r="C374" s="1174"/>
      <c r="D374" s="1168"/>
      <c r="E374" s="1178"/>
      <c r="F374" s="2557">
        <v>2027</v>
      </c>
      <c r="G374" s="2536"/>
      <c r="H374" s="2561" t="s">
        <v>393</v>
      </c>
      <c r="I374" s="2562"/>
      <c r="J374" s="2563"/>
      <c r="K374" s="2563"/>
      <c r="L374" s="2555"/>
      <c r="M374" s="2289"/>
      <c r="N374" s="2041"/>
      <c r="O374" s="2040"/>
      <c r="P374" s="2041"/>
      <c r="Q374" s="2041"/>
      <c r="R374" s="2041"/>
      <c r="S374" s="2041"/>
      <c r="T374" s="2041"/>
      <c r="U374" s="2041"/>
      <c r="V374" s="2041"/>
      <c r="W374" s="2041"/>
      <c r="X374" s="2041"/>
      <c r="Y374" s="2041"/>
      <c r="Z374" s="2041"/>
      <c r="AA374" s="2041"/>
      <c r="AB374" s="2041"/>
      <c r="AC374" s="2041"/>
      <c r="AD374" s="2041"/>
      <c r="AE374" s="2041"/>
      <c r="AF374" s="2559"/>
      <c r="AG374" s="2555"/>
      <c r="AH374" s="2555"/>
      <c r="AI374" s="2559"/>
      <c r="AJ374" s="2555"/>
      <c r="AK374" s="2555"/>
      <c r="AL374" s="1993"/>
      <c r="AM374" s="1830"/>
      <c r="AN374" s="1830"/>
      <c r="AO374" s="1830"/>
      <c r="AP374" s="1830"/>
      <c r="AQ374" s="1830"/>
      <c r="AR374" s="1830"/>
      <c r="AS374" s="1830"/>
      <c r="AT374" s="1830"/>
      <c r="AU374" s="1830"/>
      <c r="AV374" s="1830"/>
      <c r="AW374" s="1830"/>
      <c r="AX374" s="1830"/>
      <c r="AY374" s="1830"/>
      <c r="AZ374" s="1830"/>
      <c r="BA374" s="1830"/>
      <c r="BB374" s="1830"/>
      <c r="BC374" s="1830"/>
      <c r="BD374" s="1830"/>
      <c r="BE374" s="1830"/>
      <c r="BF374" s="1830"/>
      <c r="BG374" s="1643"/>
    </row>
    <row customHeight="1" ht="0.75">
      <c r="A375" s="1174" t="s">
        <v>1040</v>
      </c>
      <c r="B375" s="1174"/>
      <c r="C375" s="1174"/>
      <c r="D375" s="1168"/>
      <c r="E375" s="1178"/>
      <c r="F375" s="2557"/>
      <c r="G375" s="2536"/>
      <c r="H375" s="2561"/>
      <c r="I375" s="2562"/>
      <c r="J375" s="2563"/>
      <c r="K375" s="2563"/>
      <c r="L375" s="2555"/>
      <c r="M375" s="2289"/>
      <c r="N375" s="2564"/>
      <c r="O375" s="2565"/>
      <c r="P375" s="2609"/>
      <c r="Q375" s="2560"/>
      <c r="R375" s="2560"/>
      <c r="S375" s="2560"/>
      <c r="T375" s="2560"/>
      <c r="U375" s="2560"/>
      <c r="V375" s="2560"/>
      <c r="W375" s="2560"/>
      <c r="X375" s="2560"/>
      <c r="Y375" s="2560"/>
      <c r="Z375" s="2042"/>
      <c r="AA375" s="2043"/>
      <c r="AB375" s="2043"/>
      <c r="AC375" s="2044"/>
      <c r="AD375" s="2044"/>
      <c r="AE375" s="2045"/>
      <c r="AF375" s="2559"/>
      <c r="AG375" s="2555"/>
      <c r="AH375" s="2555"/>
      <c r="AI375" s="2559"/>
      <c r="AJ375" s="2555"/>
      <c r="AK375" s="2555"/>
      <c r="AL375" s="1993"/>
      <c r="AM375" s="1830"/>
      <c r="AN375" s="1830"/>
      <c r="AO375" s="1830"/>
      <c r="AP375" s="1830"/>
      <c r="AQ375" s="1830"/>
      <c r="AR375" s="1830"/>
      <c r="AS375" s="1830"/>
      <c r="AT375" s="1830"/>
      <c r="AU375" s="1830"/>
      <c r="AV375" s="1830"/>
      <c r="AW375" s="1830"/>
      <c r="AX375" s="1830"/>
      <c r="AY375" s="1830"/>
      <c r="AZ375" s="1830"/>
      <c r="BA375" s="1830"/>
      <c r="BB375" s="1830"/>
      <c r="BC375" s="1830"/>
      <c r="BD375" s="1830"/>
      <c r="BE375" s="1830"/>
      <c r="BF375" s="1830"/>
      <c r="BG375" s="1643"/>
    </row>
    <row customHeight="1" ht="0.75">
      <c r="A376" s="1174" t="s">
        <v>1040</v>
      </c>
      <c r="B376" s="1174"/>
      <c r="C376" s="1174"/>
      <c r="D376" s="1168"/>
      <c r="E376" s="1178"/>
      <c r="F376" s="2557"/>
      <c r="G376" s="2536"/>
      <c r="H376" s="2561"/>
      <c r="I376" s="2562"/>
      <c r="J376" s="2563"/>
      <c r="K376" s="2563"/>
      <c r="L376" s="2555"/>
      <c r="M376" s="2289"/>
      <c r="N376" s="2564"/>
      <c r="O376" s="2565"/>
      <c r="P376" s="2610"/>
      <c r="Q376" s="2560"/>
      <c r="R376" s="2560"/>
      <c r="S376" s="2560"/>
      <c r="T376" s="2560"/>
      <c r="U376" s="2560"/>
      <c r="V376" s="2560"/>
      <c r="W376" s="2560"/>
      <c r="X376" s="2560"/>
      <c r="Y376" s="2560"/>
      <c r="Z376" s="2046"/>
      <c r="AA376" s="2047"/>
      <c r="AB376" s="2048"/>
      <c r="AC376" s="2049"/>
      <c r="AD376" s="2048"/>
      <c r="AE376" s="2049"/>
      <c r="AF376" s="2559"/>
      <c r="AG376" s="2555"/>
      <c r="AH376" s="2555"/>
      <c r="AI376" s="2559"/>
      <c r="AJ376" s="2555"/>
      <c r="AK376" s="2555"/>
      <c r="AL376" s="1993"/>
      <c r="AM376" s="1830"/>
      <c r="AN376" s="1830"/>
      <c r="AO376" s="1830"/>
      <c r="AP376" s="1830"/>
      <c r="AQ376" s="1830"/>
      <c r="AR376" s="1830"/>
      <c r="AS376" s="1830"/>
      <c r="AT376" s="1830"/>
      <c r="AU376" s="1830"/>
      <c r="AV376" s="1830"/>
      <c r="AW376" s="1830"/>
      <c r="AX376" s="1830"/>
      <c r="AY376" s="1830"/>
      <c r="AZ376" s="1830"/>
      <c r="BA376" s="1830"/>
      <c r="BB376" s="1830"/>
      <c r="BC376" s="1830"/>
      <c r="BD376" s="1830"/>
      <c r="BE376" s="1830"/>
      <c r="BF376" s="1830"/>
      <c r="BG376" s="1643"/>
    </row>
    <row customHeight="1" ht="0.75">
      <c r="A377" s="1174" t="s">
        <v>1040</v>
      </c>
      <c r="B377" s="1174"/>
      <c r="C377" s="1174"/>
      <c r="D377" s="1168"/>
      <c r="E377" s="1178"/>
      <c r="F377" s="2557"/>
      <c r="G377" s="2536"/>
      <c r="H377" s="2561"/>
      <c r="I377" s="2562"/>
      <c r="J377" s="2563"/>
      <c r="K377" s="2563"/>
      <c r="L377" s="2555"/>
      <c r="M377" s="2289"/>
      <c r="N377" s="2564"/>
      <c r="O377" s="2565"/>
      <c r="P377" s="2611"/>
      <c r="Q377" s="2560"/>
      <c r="R377" s="2560"/>
      <c r="S377" s="2560"/>
      <c r="T377" s="2560"/>
      <c r="U377" s="2560"/>
      <c r="V377" s="2560"/>
      <c r="W377" s="2560"/>
      <c r="X377" s="2560"/>
      <c r="Y377" s="2560"/>
      <c r="Z377" s="2042"/>
      <c r="AA377" s="2043"/>
      <c r="AB377" s="2050"/>
      <c r="AC377" s="2044"/>
      <c r="AD377" s="2044"/>
      <c r="AE377" s="2051"/>
      <c r="AF377" s="2559"/>
      <c r="AG377" s="2555"/>
      <c r="AH377" s="2555"/>
      <c r="AI377" s="2559"/>
      <c r="AJ377" s="2555"/>
      <c r="AK377" s="2555"/>
      <c r="AL377" s="1993"/>
      <c r="AM377" s="1830"/>
      <c r="AN377" s="1830"/>
      <c r="AO377" s="1830"/>
      <c r="AP377" s="1830"/>
      <c r="AQ377" s="1830"/>
      <c r="AR377" s="1830"/>
      <c r="AS377" s="1830"/>
      <c r="AT377" s="1830"/>
      <c r="AU377" s="1830"/>
      <c r="AV377" s="1830"/>
      <c r="AW377" s="1830"/>
      <c r="AX377" s="1830"/>
      <c r="AY377" s="1830"/>
      <c r="AZ377" s="1830"/>
      <c r="BA377" s="1830"/>
      <c r="BB377" s="1830"/>
      <c r="BC377" s="1830"/>
      <c r="BD377" s="1830"/>
      <c r="BE377" s="1830"/>
      <c r="BF377" s="1830"/>
      <c r="BG377" s="1643"/>
    </row>
    <row customHeight="1" ht="0.75">
      <c r="A378" s="1174" t="s">
        <v>1040</v>
      </c>
      <c r="B378" s="1174"/>
      <c r="C378" s="1174"/>
      <c r="D378" s="1168"/>
      <c r="E378" s="1178"/>
      <c r="F378" s="2557"/>
      <c r="G378" s="2536"/>
      <c r="H378" s="2561"/>
      <c r="I378" s="2562"/>
      <c r="J378" s="2563"/>
      <c r="K378" s="2563"/>
      <c r="L378" s="2555"/>
      <c r="M378" s="2289"/>
      <c r="N378" s="2043"/>
      <c r="O378" s="2043"/>
      <c r="P378" s="2050"/>
      <c r="Q378" s="2043"/>
      <c r="R378" s="2043"/>
      <c r="S378" s="2043"/>
      <c r="T378" s="2043"/>
      <c r="U378" s="2043"/>
      <c r="V378" s="2043"/>
      <c r="W378" s="2043"/>
      <c r="X378" s="2043"/>
      <c r="Y378" s="2043"/>
      <c r="Z378" s="2043"/>
      <c r="AA378" s="2043"/>
      <c r="AB378" s="2043"/>
      <c r="AC378" s="2043"/>
      <c r="AD378" s="2043"/>
      <c r="AE378" s="2052"/>
      <c r="AF378" s="2559"/>
      <c r="AG378" s="2555"/>
      <c r="AH378" s="2555"/>
      <c r="AI378" s="2559"/>
      <c r="AJ378" s="2555"/>
      <c r="AK378" s="2555"/>
      <c r="AL378" s="1993"/>
      <c r="AM378" s="1830"/>
      <c r="AN378" s="1830"/>
      <c r="AO378" s="1830"/>
      <c r="AP378" s="1830"/>
      <c r="AQ378" s="1830"/>
      <c r="AR378" s="1830"/>
      <c r="AS378" s="1830"/>
      <c r="AT378" s="1830"/>
      <c r="AU378" s="1830"/>
      <c r="AV378" s="1830"/>
      <c r="AW378" s="1830"/>
      <c r="AX378" s="1830"/>
      <c r="AY378" s="1830"/>
      <c r="AZ378" s="1830"/>
      <c r="BA378" s="1830"/>
      <c r="BB378" s="1830"/>
      <c r="BC378" s="1830"/>
      <c r="BD378" s="1830"/>
      <c r="BE378" s="1830"/>
      <c r="BF378" s="1830"/>
      <c r="BG378" s="1643"/>
    </row>
    <row customHeight="1" ht="12">
      <c r="A379" s="1174" t="s">
        <v>1040</v>
      </c>
      <c r="B379" s="1174"/>
      <c r="C379" s="1174"/>
      <c r="D379" s="1168"/>
      <c r="E379" s="1178"/>
      <c r="F379" s="2558"/>
      <c r="G379" s="1198"/>
      <c r="H379" s="1198"/>
      <c r="I379" s="2556" t="s">
        <v>1215</v>
      </c>
      <c r="J379" s="2556"/>
      <c r="K379" s="2556"/>
      <c r="L379" s="1181"/>
      <c r="M379" s="1181"/>
      <c r="N379" s="1182"/>
      <c r="O379" s="1182"/>
      <c r="P379" s="1182"/>
      <c r="Q379" s="1182"/>
      <c r="R379" s="1182"/>
      <c r="S379" s="1182"/>
      <c r="T379" s="1182"/>
      <c r="U379" s="1182"/>
      <c r="V379" s="1182"/>
      <c r="W379" s="1182"/>
      <c r="X379" s="1182"/>
      <c r="Y379" s="1182"/>
      <c r="Z379" s="1182"/>
      <c r="AA379" s="1182"/>
      <c r="AB379" s="1182"/>
      <c r="AC379" s="1182"/>
      <c r="AD379" s="1182"/>
      <c r="AE379" s="1182"/>
      <c r="AF379" s="1182"/>
      <c r="AG379" s="1181"/>
      <c r="AH379" s="1181"/>
      <c r="AI379" s="1182"/>
      <c r="AJ379" s="1181"/>
      <c r="AK379" s="1182"/>
      <c r="AL379" s="1993"/>
      <c r="AM379" s="1830"/>
      <c r="AN379" s="1830"/>
      <c r="AO379" s="1830"/>
      <c r="AP379" s="1830"/>
      <c r="AQ379" s="1830"/>
      <c r="AR379" s="1830"/>
      <c r="AS379" s="1830"/>
      <c r="AT379" s="1830"/>
      <c r="AU379" s="1830"/>
      <c r="AV379" s="1830"/>
      <c r="AW379" s="1830"/>
      <c r="AX379" s="1830"/>
      <c r="AY379" s="1830"/>
      <c r="AZ379" s="1830"/>
      <c r="BA379" s="1830"/>
      <c r="BB379" s="1830"/>
      <c r="BC379" s="1830"/>
      <c r="BD379" s="1830"/>
      <c r="BE379" s="1830"/>
      <c r="BF379" s="1830"/>
      <c r="BG379" s="1643"/>
    </row>
    <row customHeight="1" ht="0.75">
      <c r="A380" s="1174" t="s">
        <v>1040</v>
      </c>
      <c r="B380" s="1174"/>
      <c r="C380" s="1174"/>
      <c r="D380" s="1168"/>
      <c r="E380" s="1178"/>
      <c r="F380" s="2557">
        <v>2028</v>
      </c>
      <c r="G380" s="2536"/>
      <c r="H380" s="2561" t="s">
        <v>393</v>
      </c>
      <c r="I380" s="2562"/>
      <c r="J380" s="2563"/>
      <c r="K380" s="2563"/>
      <c r="L380" s="2555"/>
      <c r="M380" s="2289"/>
      <c r="N380" s="2041"/>
      <c r="O380" s="2040"/>
      <c r="P380" s="2041"/>
      <c r="Q380" s="2041"/>
      <c r="R380" s="2041"/>
      <c r="S380" s="2041"/>
      <c r="T380" s="2041"/>
      <c r="U380" s="2041"/>
      <c r="V380" s="2041"/>
      <c r="W380" s="2041"/>
      <c r="X380" s="2041"/>
      <c r="Y380" s="2041"/>
      <c r="Z380" s="2041"/>
      <c r="AA380" s="2041"/>
      <c r="AB380" s="2041"/>
      <c r="AC380" s="2041"/>
      <c r="AD380" s="2041"/>
      <c r="AE380" s="2041"/>
      <c r="AF380" s="2559"/>
      <c r="AG380" s="2555"/>
      <c r="AH380" s="2555"/>
      <c r="AI380" s="2559"/>
      <c r="AJ380" s="2555"/>
      <c r="AK380" s="2555"/>
      <c r="AL380" s="1993"/>
      <c r="AM380" s="1830"/>
      <c r="AN380" s="1830"/>
      <c r="AO380" s="1830"/>
      <c r="AP380" s="1830"/>
      <c r="AQ380" s="1830"/>
      <c r="AR380" s="1830"/>
      <c r="AS380" s="1830"/>
      <c r="AT380" s="1830"/>
      <c r="AU380" s="1830"/>
      <c r="AV380" s="1830"/>
      <c r="AW380" s="1830"/>
      <c r="AX380" s="1830"/>
      <c r="AY380" s="1830"/>
      <c r="AZ380" s="1830"/>
      <c r="BA380" s="1830"/>
      <c r="BB380" s="1830"/>
      <c r="BC380" s="1830"/>
      <c r="BD380" s="1830"/>
      <c r="BE380" s="1830"/>
      <c r="BF380" s="1830"/>
      <c r="BG380" s="1643"/>
    </row>
    <row customHeight="1" ht="0.75">
      <c r="A381" s="1174" t="s">
        <v>1040</v>
      </c>
      <c r="B381" s="1174"/>
      <c r="C381" s="1174"/>
      <c r="D381" s="1168"/>
      <c r="E381" s="1178"/>
      <c r="F381" s="2557"/>
      <c r="G381" s="2536"/>
      <c r="H381" s="2561"/>
      <c r="I381" s="2562"/>
      <c r="J381" s="2563"/>
      <c r="K381" s="2563"/>
      <c r="L381" s="2555"/>
      <c r="M381" s="2289"/>
      <c r="N381" s="2564"/>
      <c r="O381" s="2565"/>
      <c r="P381" s="2609"/>
      <c r="Q381" s="2560"/>
      <c r="R381" s="2560"/>
      <c r="S381" s="2560"/>
      <c r="T381" s="2560"/>
      <c r="U381" s="2560"/>
      <c r="V381" s="2560"/>
      <c r="W381" s="2560"/>
      <c r="X381" s="2560"/>
      <c r="Y381" s="2560"/>
      <c r="Z381" s="2042"/>
      <c r="AA381" s="2043"/>
      <c r="AB381" s="2043"/>
      <c r="AC381" s="2044"/>
      <c r="AD381" s="2044"/>
      <c r="AE381" s="2045"/>
      <c r="AF381" s="2559"/>
      <c r="AG381" s="2555"/>
      <c r="AH381" s="2555"/>
      <c r="AI381" s="2559"/>
      <c r="AJ381" s="2555"/>
      <c r="AK381" s="2555"/>
      <c r="AL381" s="1993"/>
      <c r="AM381" s="1830"/>
      <c r="AN381" s="1830"/>
      <c r="AO381" s="1830"/>
      <c r="AP381" s="1830"/>
      <c r="AQ381" s="1830"/>
      <c r="AR381" s="1830"/>
      <c r="AS381" s="1830"/>
      <c r="AT381" s="1830"/>
      <c r="AU381" s="1830"/>
      <c r="AV381" s="1830"/>
      <c r="AW381" s="1830"/>
      <c r="AX381" s="1830"/>
      <c r="AY381" s="1830"/>
      <c r="AZ381" s="1830"/>
      <c r="BA381" s="1830"/>
      <c r="BB381" s="1830"/>
      <c r="BC381" s="1830"/>
      <c r="BD381" s="1830"/>
      <c r="BE381" s="1830"/>
      <c r="BF381" s="1830"/>
      <c r="BG381" s="1643"/>
    </row>
    <row customHeight="1" ht="0.75">
      <c r="A382" s="1174" t="s">
        <v>1040</v>
      </c>
      <c r="B382" s="1174"/>
      <c r="C382" s="1174"/>
      <c r="D382" s="1168"/>
      <c r="E382" s="1178"/>
      <c r="F382" s="2557"/>
      <c r="G382" s="2536"/>
      <c r="H382" s="2561"/>
      <c r="I382" s="2562"/>
      <c r="J382" s="2563"/>
      <c r="K382" s="2563"/>
      <c r="L382" s="2555"/>
      <c r="M382" s="2289"/>
      <c r="N382" s="2564"/>
      <c r="O382" s="2565"/>
      <c r="P382" s="2610"/>
      <c r="Q382" s="2560"/>
      <c r="R382" s="2560"/>
      <c r="S382" s="2560"/>
      <c r="T382" s="2560"/>
      <c r="U382" s="2560"/>
      <c r="V382" s="2560"/>
      <c r="W382" s="2560"/>
      <c r="X382" s="2560"/>
      <c r="Y382" s="2560"/>
      <c r="Z382" s="2046"/>
      <c r="AA382" s="2047"/>
      <c r="AB382" s="2048"/>
      <c r="AC382" s="2049"/>
      <c r="AD382" s="2048"/>
      <c r="AE382" s="2049"/>
      <c r="AF382" s="2559"/>
      <c r="AG382" s="2555"/>
      <c r="AH382" s="2555"/>
      <c r="AI382" s="2559"/>
      <c r="AJ382" s="2555"/>
      <c r="AK382" s="2555"/>
      <c r="AL382" s="1993"/>
      <c r="AM382" s="1830"/>
      <c r="AN382" s="1830"/>
      <c r="AO382" s="1830"/>
      <c r="AP382" s="1830"/>
      <c r="AQ382" s="1830"/>
      <c r="AR382" s="1830"/>
      <c r="AS382" s="1830"/>
      <c r="AT382" s="1830"/>
      <c r="AU382" s="1830"/>
      <c r="AV382" s="1830"/>
      <c r="AW382" s="1830"/>
      <c r="AX382" s="1830"/>
      <c r="AY382" s="1830"/>
      <c r="AZ382" s="1830"/>
      <c r="BA382" s="1830"/>
      <c r="BB382" s="1830"/>
      <c r="BC382" s="1830"/>
      <c r="BD382" s="1830"/>
      <c r="BE382" s="1830"/>
      <c r="BF382" s="1830"/>
      <c r="BG382" s="1643"/>
    </row>
    <row customHeight="1" ht="0.75">
      <c r="A383" s="1174" t="s">
        <v>1040</v>
      </c>
      <c r="B383" s="1174"/>
      <c r="C383" s="1174"/>
      <c r="D383" s="1168"/>
      <c r="E383" s="1178"/>
      <c r="F383" s="2557"/>
      <c r="G383" s="2536"/>
      <c r="H383" s="2561"/>
      <c r="I383" s="2562"/>
      <c r="J383" s="2563"/>
      <c r="K383" s="2563"/>
      <c r="L383" s="2555"/>
      <c r="M383" s="2289"/>
      <c r="N383" s="2564"/>
      <c r="O383" s="2565"/>
      <c r="P383" s="2611"/>
      <c r="Q383" s="2560"/>
      <c r="R383" s="2560"/>
      <c r="S383" s="2560"/>
      <c r="T383" s="2560"/>
      <c r="U383" s="2560"/>
      <c r="V383" s="2560"/>
      <c r="W383" s="2560"/>
      <c r="X383" s="2560"/>
      <c r="Y383" s="2560"/>
      <c r="Z383" s="2042"/>
      <c r="AA383" s="2043"/>
      <c r="AB383" s="2050"/>
      <c r="AC383" s="2044"/>
      <c r="AD383" s="2044"/>
      <c r="AE383" s="2051"/>
      <c r="AF383" s="2559"/>
      <c r="AG383" s="2555"/>
      <c r="AH383" s="2555"/>
      <c r="AI383" s="2559"/>
      <c r="AJ383" s="2555"/>
      <c r="AK383" s="2555"/>
      <c r="AL383" s="1993"/>
      <c r="AM383" s="1830"/>
      <c r="AN383" s="1830"/>
      <c r="AO383" s="1830"/>
      <c r="AP383" s="1830"/>
      <c r="AQ383" s="1830"/>
      <c r="AR383" s="1830"/>
      <c r="AS383" s="1830"/>
      <c r="AT383" s="1830"/>
      <c r="AU383" s="1830"/>
      <c r="AV383" s="1830"/>
      <c r="AW383" s="1830"/>
      <c r="AX383" s="1830"/>
      <c r="AY383" s="1830"/>
      <c r="AZ383" s="1830"/>
      <c r="BA383" s="1830"/>
      <c r="BB383" s="1830"/>
      <c r="BC383" s="1830"/>
      <c r="BD383" s="1830"/>
      <c r="BE383" s="1830"/>
      <c r="BF383" s="1830"/>
      <c r="BG383" s="1643"/>
    </row>
    <row customHeight="1" ht="0.75">
      <c r="A384" s="1174" t="s">
        <v>1040</v>
      </c>
      <c r="B384" s="1174"/>
      <c r="C384" s="1174"/>
      <c r="D384" s="1168"/>
      <c r="E384" s="1178"/>
      <c r="F384" s="2557"/>
      <c r="G384" s="2536"/>
      <c r="H384" s="2561"/>
      <c r="I384" s="2562"/>
      <c r="J384" s="2563"/>
      <c r="K384" s="2563"/>
      <c r="L384" s="2555"/>
      <c r="M384" s="2289"/>
      <c r="N384" s="2043"/>
      <c r="O384" s="2043"/>
      <c r="P384" s="2050"/>
      <c r="Q384" s="2043"/>
      <c r="R384" s="2043"/>
      <c r="S384" s="2043"/>
      <c r="T384" s="2043"/>
      <c r="U384" s="2043"/>
      <c r="V384" s="2043"/>
      <c r="W384" s="2043"/>
      <c r="X384" s="2043"/>
      <c r="Y384" s="2043"/>
      <c r="Z384" s="2043"/>
      <c r="AA384" s="2043"/>
      <c r="AB384" s="2043"/>
      <c r="AC384" s="2043"/>
      <c r="AD384" s="2043"/>
      <c r="AE384" s="2052"/>
      <c r="AF384" s="2559"/>
      <c r="AG384" s="2555"/>
      <c r="AH384" s="2555"/>
      <c r="AI384" s="2559"/>
      <c r="AJ384" s="2555"/>
      <c r="AK384" s="2555"/>
      <c r="AL384" s="1993"/>
      <c r="AM384" s="1830"/>
      <c r="AN384" s="1830"/>
      <c r="AO384" s="1830"/>
      <c r="AP384" s="1830"/>
      <c r="AQ384" s="1830"/>
      <c r="AR384" s="1830"/>
      <c r="AS384" s="1830"/>
      <c r="AT384" s="1830"/>
      <c r="AU384" s="1830"/>
      <c r="AV384" s="1830"/>
      <c r="AW384" s="1830"/>
      <c r="AX384" s="1830"/>
      <c r="AY384" s="1830"/>
      <c r="AZ384" s="1830"/>
      <c r="BA384" s="1830"/>
      <c r="BB384" s="1830"/>
      <c r="BC384" s="1830"/>
      <c r="BD384" s="1830"/>
      <c r="BE384" s="1830"/>
      <c r="BF384" s="1830"/>
      <c r="BG384" s="1643"/>
    </row>
    <row customHeight="1" ht="12">
      <c r="A385" s="1174" t="s">
        <v>1040</v>
      </c>
      <c r="B385" s="1174"/>
      <c r="C385" s="1174"/>
      <c r="D385" s="1168"/>
      <c r="E385" s="1178"/>
      <c r="F385" s="2558"/>
      <c r="G385" s="1198"/>
      <c r="H385" s="1198"/>
      <c r="I385" s="2556" t="s">
        <v>1215</v>
      </c>
      <c r="J385" s="2556"/>
      <c r="K385" s="2556"/>
      <c r="L385" s="1181"/>
      <c r="M385" s="1181"/>
      <c r="N385" s="1182"/>
      <c r="O385" s="1182"/>
      <c r="P385" s="1182"/>
      <c r="Q385" s="1182"/>
      <c r="R385" s="1182"/>
      <c r="S385" s="1182"/>
      <c r="T385" s="1182"/>
      <c r="U385" s="1182"/>
      <c r="V385" s="1182"/>
      <c r="W385" s="1182"/>
      <c r="X385" s="1182"/>
      <c r="Y385" s="1182"/>
      <c r="Z385" s="1182"/>
      <c r="AA385" s="1182"/>
      <c r="AB385" s="1182"/>
      <c r="AC385" s="1182"/>
      <c r="AD385" s="1182"/>
      <c r="AE385" s="1182"/>
      <c r="AF385" s="1182"/>
      <c r="AG385" s="1181"/>
      <c r="AH385" s="1181"/>
      <c r="AI385" s="1182"/>
      <c r="AJ385" s="1181"/>
      <c r="AK385" s="1182"/>
      <c r="AL385" s="1993"/>
      <c r="AM385" s="1830"/>
      <c r="AN385" s="1830"/>
      <c r="AO385" s="1830"/>
      <c r="AP385" s="1830"/>
      <c r="AQ385" s="1830"/>
      <c r="AR385" s="1830"/>
      <c r="AS385" s="1830"/>
      <c r="AT385" s="1830"/>
      <c r="AU385" s="1830"/>
      <c r="AV385" s="1830"/>
      <c r="AW385" s="1830"/>
      <c r="AX385" s="1830"/>
      <c r="AY385" s="1830"/>
      <c r="AZ385" s="1830"/>
      <c r="BA385" s="1830"/>
      <c r="BB385" s="1830"/>
      <c r="BC385" s="1830"/>
      <c r="BD385" s="1830"/>
      <c r="BE385" s="1830"/>
      <c r="BF385" s="1830"/>
      <c r="BG385" s="1643"/>
    </row>
    <row customHeight="1" ht="0.75">
      <c r="A386" s="1174" t="s">
        <v>1040</v>
      </c>
      <c r="B386" s="1174"/>
      <c r="C386" s="1174"/>
      <c r="D386" s="1168"/>
      <c r="E386" s="1178"/>
      <c r="F386" s="2557">
        <v>2029</v>
      </c>
      <c r="G386" s="2536"/>
      <c r="H386" s="2561" t="s">
        <v>393</v>
      </c>
      <c r="I386" s="2562"/>
      <c r="J386" s="2563"/>
      <c r="K386" s="2563"/>
      <c r="L386" s="2555"/>
      <c r="M386" s="2289"/>
      <c r="N386" s="2041"/>
      <c r="O386" s="2040"/>
      <c r="P386" s="2041"/>
      <c r="Q386" s="2041"/>
      <c r="R386" s="2041"/>
      <c r="S386" s="2041"/>
      <c r="T386" s="2041"/>
      <c r="U386" s="2041"/>
      <c r="V386" s="2041"/>
      <c r="W386" s="2041"/>
      <c r="X386" s="2041"/>
      <c r="Y386" s="2041"/>
      <c r="Z386" s="2041"/>
      <c r="AA386" s="2041"/>
      <c r="AB386" s="2041"/>
      <c r="AC386" s="2041"/>
      <c r="AD386" s="2041"/>
      <c r="AE386" s="2041"/>
      <c r="AF386" s="2559"/>
      <c r="AG386" s="2555"/>
      <c r="AH386" s="2555"/>
      <c r="AI386" s="2559"/>
      <c r="AJ386" s="2555"/>
      <c r="AK386" s="2555"/>
      <c r="AL386" s="1993"/>
      <c r="AM386" s="1830"/>
      <c r="AN386" s="1830"/>
      <c r="AO386" s="1830"/>
      <c r="AP386" s="1830"/>
      <c r="AQ386" s="1830"/>
      <c r="AR386" s="1830"/>
      <c r="AS386" s="1830"/>
      <c r="AT386" s="1830"/>
      <c r="AU386" s="1830"/>
      <c r="AV386" s="1830"/>
      <c r="AW386" s="1830"/>
      <c r="AX386" s="1830"/>
      <c r="AY386" s="1830"/>
      <c r="AZ386" s="1830"/>
      <c r="BA386" s="1830"/>
      <c r="BB386" s="1830"/>
      <c r="BC386" s="1830"/>
      <c r="BD386" s="1830"/>
      <c r="BE386" s="1830"/>
      <c r="BF386" s="1830"/>
      <c r="BG386" s="1643"/>
    </row>
    <row customHeight="1" ht="0.75">
      <c r="A387" s="1174" t="s">
        <v>1040</v>
      </c>
      <c r="B387" s="1174"/>
      <c r="C387" s="1174"/>
      <c r="D387" s="1168"/>
      <c r="E387" s="1178"/>
      <c r="F387" s="2557"/>
      <c r="G387" s="2536"/>
      <c r="H387" s="2561"/>
      <c r="I387" s="2562"/>
      <c r="J387" s="2563"/>
      <c r="K387" s="2563"/>
      <c r="L387" s="2555"/>
      <c r="M387" s="2289"/>
      <c r="N387" s="2564"/>
      <c r="O387" s="2565"/>
      <c r="P387" s="2609"/>
      <c r="Q387" s="2560"/>
      <c r="R387" s="2560"/>
      <c r="S387" s="2560"/>
      <c r="T387" s="2560"/>
      <c r="U387" s="2560"/>
      <c r="V387" s="2560"/>
      <c r="W387" s="2560"/>
      <c r="X387" s="2560"/>
      <c r="Y387" s="2560"/>
      <c r="Z387" s="2042"/>
      <c r="AA387" s="2043"/>
      <c r="AB387" s="2043"/>
      <c r="AC387" s="2044"/>
      <c r="AD387" s="2044"/>
      <c r="AE387" s="2045"/>
      <c r="AF387" s="2559"/>
      <c r="AG387" s="2555"/>
      <c r="AH387" s="2555"/>
      <c r="AI387" s="2559"/>
      <c r="AJ387" s="2555"/>
      <c r="AK387" s="2555"/>
      <c r="AL387" s="1993"/>
      <c r="AM387" s="1830"/>
      <c r="AN387" s="1830"/>
      <c r="AO387" s="1830"/>
      <c r="AP387" s="1830"/>
      <c r="AQ387" s="1830"/>
      <c r="AR387" s="1830"/>
      <c r="AS387" s="1830"/>
      <c r="AT387" s="1830"/>
      <c r="AU387" s="1830"/>
      <c r="AV387" s="1830"/>
      <c r="AW387" s="1830"/>
      <c r="AX387" s="1830"/>
      <c r="AY387" s="1830"/>
      <c r="AZ387" s="1830"/>
      <c r="BA387" s="1830"/>
      <c r="BB387" s="1830"/>
      <c r="BC387" s="1830"/>
      <c r="BD387" s="1830"/>
      <c r="BE387" s="1830"/>
      <c r="BF387" s="1830"/>
      <c r="BG387" s="1643"/>
    </row>
    <row customHeight="1" ht="0.75">
      <c r="A388" s="1174" t="s">
        <v>1040</v>
      </c>
      <c r="B388" s="1174"/>
      <c r="C388" s="1174"/>
      <c r="D388" s="1168"/>
      <c r="E388" s="1178"/>
      <c r="F388" s="2557"/>
      <c r="G388" s="2536"/>
      <c r="H388" s="2561"/>
      <c r="I388" s="2562"/>
      <c r="J388" s="2563"/>
      <c r="K388" s="2563"/>
      <c r="L388" s="2555"/>
      <c r="M388" s="2289"/>
      <c r="N388" s="2564"/>
      <c r="O388" s="2565"/>
      <c r="P388" s="2610"/>
      <c r="Q388" s="2560"/>
      <c r="R388" s="2560"/>
      <c r="S388" s="2560"/>
      <c r="T388" s="2560"/>
      <c r="U388" s="2560"/>
      <c r="V388" s="2560"/>
      <c r="W388" s="2560"/>
      <c r="X388" s="2560"/>
      <c r="Y388" s="2560"/>
      <c r="Z388" s="2046"/>
      <c r="AA388" s="2047"/>
      <c r="AB388" s="2048"/>
      <c r="AC388" s="2049"/>
      <c r="AD388" s="2048"/>
      <c r="AE388" s="2049"/>
      <c r="AF388" s="2559"/>
      <c r="AG388" s="2555"/>
      <c r="AH388" s="2555"/>
      <c r="AI388" s="2559"/>
      <c r="AJ388" s="2555"/>
      <c r="AK388" s="2555"/>
      <c r="AL388" s="1993"/>
      <c r="AM388" s="1830"/>
      <c r="AN388" s="1830"/>
      <c r="AO388" s="1830"/>
      <c r="AP388" s="1830"/>
      <c r="AQ388" s="1830"/>
      <c r="AR388" s="1830"/>
      <c r="AS388" s="1830"/>
      <c r="AT388" s="1830"/>
      <c r="AU388" s="1830"/>
      <c r="AV388" s="1830"/>
      <c r="AW388" s="1830"/>
      <c r="AX388" s="1830"/>
      <c r="AY388" s="1830"/>
      <c r="AZ388" s="1830"/>
      <c r="BA388" s="1830"/>
      <c r="BB388" s="1830"/>
      <c r="BC388" s="1830"/>
      <c r="BD388" s="1830"/>
      <c r="BE388" s="1830"/>
      <c r="BF388" s="1830"/>
      <c r="BG388" s="1643"/>
    </row>
    <row customHeight="1" ht="0.75">
      <c r="A389" s="1174" t="s">
        <v>1040</v>
      </c>
      <c r="B389" s="1174"/>
      <c r="C389" s="1174"/>
      <c r="D389" s="1168"/>
      <c r="E389" s="1178"/>
      <c r="F389" s="2557"/>
      <c r="G389" s="2536"/>
      <c r="H389" s="2561"/>
      <c r="I389" s="2562"/>
      <c r="J389" s="2563"/>
      <c r="K389" s="2563"/>
      <c r="L389" s="2555"/>
      <c r="M389" s="2289"/>
      <c r="N389" s="2564"/>
      <c r="O389" s="2565"/>
      <c r="P389" s="2611"/>
      <c r="Q389" s="2560"/>
      <c r="R389" s="2560"/>
      <c r="S389" s="2560"/>
      <c r="T389" s="2560"/>
      <c r="U389" s="2560"/>
      <c r="V389" s="2560"/>
      <c r="W389" s="2560"/>
      <c r="X389" s="2560"/>
      <c r="Y389" s="2560"/>
      <c r="Z389" s="2042"/>
      <c r="AA389" s="2043"/>
      <c r="AB389" s="2050"/>
      <c r="AC389" s="2044"/>
      <c r="AD389" s="2044"/>
      <c r="AE389" s="2051"/>
      <c r="AF389" s="2559"/>
      <c r="AG389" s="2555"/>
      <c r="AH389" s="2555"/>
      <c r="AI389" s="2559"/>
      <c r="AJ389" s="2555"/>
      <c r="AK389" s="2555"/>
      <c r="AL389" s="1993"/>
      <c r="AM389" s="1830"/>
      <c r="AN389" s="1830"/>
      <c r="AO389" s="1830"/>
      <c r="AP389" s="1830"/>
      <c r="AQ389" s="1830"/>
      <c r="AR389" s="1830"/>
      <c r="AS389" s="1830"/>
      <c r="AT389" s="1830"/>
      <c r="AU389" s="1830"/>
      <c r="AV389" s="1830"/>
      <c r="AW389" s="1830"/>
      <c r="AX389" s="1830"/>
      <c r="AY389" s="1830"/>
      <c r="AZ389" s="1830"/>
      <c r="BA389" s="1830"/>
      <c r="BB389" s="1830"/>
      <c r="BC389" s="1830"/>
      <c r="BD389" s="1830"/>
      <c r="BE389" s="1830"/>
      <c r="BF389" s="1830"/>
      <c r="BG389" s="1643"/>
    </row>
    <row customHeight="1" ht="0.75">
      <c r="A390" s="1174" t="s">
        <v>1040</v>
      </c>
      <c r="B390" s="1174"/>
      <c r="C390" s="1174"/>
      <c r="D390" s="1168"/>
      <c r="E390" s="1178"/>
      <c r="F390" s="2557"/>
      <c r="G390" s="2536"/>
      <c r="H390" s="2561"/>
      <c r="I390" s="2562"/>
      <c r="J390" s="2563"/>
      <c r="K390" s="2563"/>
      <c r="L390" s="2555"/>
      <c r="M390" s="2289"/>
      <c r="N390" s="2043"/>
      <c r="O390" s="2043"/>
      <c r="P390" s="2050"/>
      <c r="Q390" s="2043"/>
      <c r="R390" s="2043"/>
      <c r="S390" s="2043"/>
      <c r="T390" s="2043"/>
      <c r="U390" s="2043"/>
      <c r="V390" s="2043"/>
      <c r="W390" s="2043"/>
      <c r="X390" s="2043"/>
      <c r="Y390" s="2043"/>
      <c r="Z390" s="2043"/>
      <c r="AA390" s="2043"/>
      <c r="AB390" s="2043"/>
      <c r="AC390" s="2043"/>
      <c r="AD390" s="2043"/>
      <c r="AE390" s="2052"/>
      <c r="AF390" s="2559"/>
      <c r="AG390" s="2555"/>
      <c r="AH390" s="2555"/>
      <c r="AI390" s="2559"/>
      <c r="AJ390" s="2555"/>
      <c r="AK390" s="2555"/>
      <c r="AL390" s="1993"/>
      <c r="AM390" s="1830"/>
      <c r="AN390" s="1830"/>
      <c r="AO390" s="1830"/>
      <c r="AP390" s="1830"/>
      <c r="AQ390" s="1830"/>
      <c r="AR390" s="1830"/>
      <c r="AS390" s="1830"/>
      <c r="AT390" s="1830"/>
      <c r="AU390" s="1830"/>
      <c r="AV390" s="1830"/>
      <c r="AW390" s="1830"/>
      <c r="AX390" s="1830"/>
      <c r="AY390" s="1830"/>
      <c r="AZ390" s="1830"/>
      <c r="BA390" s="1830"/>
      <c r="BB390" s="1830"/>
      <c r="BC390" s="1830"/>
      <c r="BD390" s="1830"/>
      <c r="BE390" s="1830"/>
      <c r="BF390" s="1830"/>
      <c r="BG390" s="1643"/>
    </row>
    <row customHeight="1" ht="12">
      <c r="A391" s="1174" t="s">
        <v>1040</v>
      </c>
      <c r="B391" s="1174"/>
      <c r="C391" s="1174"/>
      <c r="D391" s="1168"/>
      <c r="E391" s="1178"/>
      <c r="F391" s="2558"/>
      <c r="G391" s="1198"/>
      <c r="H391" s="1198"/>
      <c r="I391" s="2556" t="s">
        <v>1215</v>
      </c>
      <c r="J391" s="2556"/>
      <c r="K391" s="2556"/>
      <c r="L391" s="1181"/>
      <c r="M391" s="1181"/>
      <c r="N391" s="1182"/>
      <c r="O391" s="1182"/>
      <c r="P391" s="1182"/>
      <c r="Q391" s="1182"/>
      <c r="R391" s="1182"/>
      <c r="S391" s="1182"/>
      <c r="T391" s="1182"/>
      <c r="U391" s="1182"/>
      <c r="V391" s="1182"/>
      <c r="W391" s="1182"/>
      <c r="X391" s="1182"/>
      <c r="Y391" s="1182"/>
      <c r="Z391" s="1182"/>
      <c r="AA391" s="1182"/>
      <c r="AB391" s="1182"/>
      <c r="AC391" s="1182"/>
      <c r="AD391" s="1182"/>
      <c r="AE391" s="1182"/>
      <c r="AF391" s="1182"/>
      <c r="AG391" s="1181"/>
      <c r="AH391" s="1181"/>
      <c r="AI391" s="1182"/>
      <c r="AJ391" s="1181"/>
      <c r="AK391" s="1182"/>
      <c r="AL391" s="1993"/>
      <c r="AM391" s="1830"/>
      <c r="AN391" s="1830"/>
      <c r="AO391" s="1830"/>
      <c r="AP391" s="1830"/>
      <c r="AQ391" s="1830"/>
      <c r="AR391" s="1830"/>
      <c r="AS391" s="1830"/>
      <c r="AT391" s="1830"/>
      <c r="AU391" s="1830"/>
      <c r="AV391" s="1830"/>
      <c r="AW391" s="1830"/>
      <c r="AX391" s="1830"/>
      <c r="AY391" s="1830"/>
      <c r="AZ391" s="1830"/>
      <c r="BA391" s="1830"/>
      <c r="BB391" s="1830"/>
      <c r="BC391" s="1830"/>
      <c r="BD391" s="1830"/>
      <c r="BE391" s="1830"/>
      <c r="BF391" s="1830"/>
      <c r="BG391" s="1643"/>
    </row>
    <row customHeight="1" ht="10.5">
      <c r="E392" s="915"/>
      <c r="F392" s="926"/>
      <c r="G392" s="926"/>
      <c r="H392" s="1180"/>
      <c r="I392" s="926"/>
      <c r="J392" s="926"/>
      <c r="K392" s="926"/>
      <c r="L392" s="1139"/>
      <c r="M392" s="1139"/>
      <c r="N392" s="926"/>
      <c r="O392" s="926"/>
      <c r="P392" s="926"/>
      <c r="Q392" s="926"/>
      <c r="R392" s="926"/>
      <c r="S392" s="926"/>
      <c r="T392" s="926"/>
      <c r="U392" s="926"/>
      <c r="V392" s="926"/>
      <c r="W392" s="926"/>
      <c r="X392" s="926"/>
      <c r="Y392" s="926"/>
      <c r="Z392" s="926"/>
      <c r="AA392" s="926"/>
      <c r="AB392" s="926"/>
      <c r="AC392" s="926"/>
      <c r="AD392" s="1139"/>
      <c r="AE392" s="926"/>
      <c r="AF392" s="926"/>
      <c r="AG392" s="926"/>
      <c r="AH392" s="1157"/>
      <c r="AI392" s="1150"/>
      <c r="AJ392" s="926"/>
      <c r="AK392" s="926"/>
      <c r="AL392" s="915"/>
      <c r="AM392" s="915"/>
      <c r="AN392" s="915"/>
      <c r="AO392" s="915"/>
      <c r="AP392" s="915"/>
      <c r="AQ392" s="915"/>
      <c r="AR392" s="915"/>
      <c r="AS392" s="915"/>
      <c r="AT392" s="915"/>
      <c r="AU392" s="915"/>
      <c r="AV392" s="915"/>
      <c r="AW392" s="915"/>
      <c r="AX392" s="915"/>
      <c r="AY392" s="915"/>
      <c r="AZ392" s="915"/>
      <c r="BA392" s="915"/>
      <c r="BB392" s="915"/>
      <c r="BC392" s="915"/>
      <c r="BD392" s="915"/>
      <c r="BE392" s="915"/>
      <c r="BF392" s="915"/>
      <c r="BG392" s="766">
        <v>10</v>
      </c>
    </row>
    <row customHeight="1" ht="13.5">
      <c r="E393" s="915"/>
      <c r="F393" s="922" t="s">
        <v>1216</v>
      </c>
      <c r="G393" s="922"/>
      <c r="H393" s="1179"/>
      <c r="I393" s="922"/>
      <c r="J393" s="922"/>
      <c r="K393" s="919"/>
      <c r="L393" s="1135"/>
      <c r="M393" s="1135"/>
      <c r="N393" s="921"/>
      <c r="O393" s="921"/>
      <c r="P393" s="921"/>
      <c r="Q393" s="921"/>
      <c r="R393" s="921"/>
      <c r="S393" s="921"/>
      <c r="T393" s="921"/>
      <c r="U393" s="921"/>
      <c r="V393" s="921"/>
      <c r="W393" s="921"/>
      <c r="X393" s="921"/>
      <c r="Y393" s="921"/>
      <c r="Z393" s="919"/>
      <c r="AA393" s="919"/>
      <c r="AB393" s="919"/>
      <c r="AC393" s="919"/>
      <c r="AD393" s="1135"/>
      <c r="AE393" s="919"/>
      <c r="AF393" s="919"/>
      <c r="AG393" s="919"/>
      <c r="AH393" s="1154"/>
      <c r="AI393" s="1147"/>
      <c r="AJ393" s="919"/>
      <c r="AK393" s="919"/>
      <c r="AL393" s="915"/>
      <c r="AM393" s="915"/>
      <c r="AN393" s="915"/>
      <c r="AO393" s="915"/>
      <c r="AP393" s="915"/>
      <c r="AQ393" s="915"/>
      <c r="AR393" s="915"/>
      <c r="AS393" s="915"/>
      <c r="AT393" s="915"/>
      <c r="AU393" s="915"/>
      <c r="AV393" s="915"/>
      <c r="AW393" s="915"/>
      <c r="AX393" s="915"/>
      <c r="AY393" s="915"/>
      <c r="AZ393" s="915"/>
      <c r="BA393" s="915"/>
      <c r="BB393" s="915"/>
      <c r="BC393" s="915"/>
      <c r="BD393" s="915"/>
      <c r="BE393" s="915"/>
      <c r="BF393" s="915"/>
      <c r="BG393" s="766">
        <v>13</v>
      </c>
    </row>
    <row customHeight="1" ht="10.5">
      <c r="BG394" s="766">
        <v>10</v>
      </c>
    </row>
    <row customHeight="1" ht="10.5">
      <c r="E395" s="915"/>
      <c r="F395" s="2428"/>
      <c r="G395" s="2428"/>
      <c r="H395" s="2428"/>
      <c r="I395" s="2428"/>
      <c r="J395" s="2428"/>
      <c r="K395" s="919"/>
      <c r="L395" s="1135"/>
      <c r="M395" s="1135"/>
      <c r="N395" s="921"/>
      <c r="O395" s="921"/>
      <c r="P395" s="921"/>
      <c r="Q395" s="921"/>
      <c r="R395" s="921"/>
      <c r="S395" s="921"/>
      <c r="T395" s="921"/>
      <c r="U395" s="921"/>
      <c r="V395" s="921"/>
      <c r="W395" s="921"/>
      <c r="X395" s="921"/>
      <c r="Y395" s="921"/>
      <c r="Z395" s="919"/>
      <c r="AA395" s="919"/>
      <c r="AB395" s="919"/>
      <c r="AC395" s="919"/>
      <c r="AD395" s="1135"/>
      <c r="AE395" s="919"/>
      <c r="AF395" s="919"/>
      <c r="AG395" s="919"/>
      <c r="AH395" s="1154"/>
      <c r="AI395" s="1147"/>
      <c r="AJ395" s="919"/>
      <c r="AK395" s="919"/>
      <c r="AL395" s="915"/>
      <c r="AM395" s="915"/>
      <c r="AN395" s="915"/>
      <c r="AO395" s="915"/>
      <c r="AP395" s="915"/>
      <c r="AQ395" s="915"/>
      <c r="AR395" s="915"/>
      <c r="AS395" s="915"/>
      <c r="AT395" s="915"/>
      <c r="AU395" s="915"/>
      <c r="AV395" s="915"/>
      <c r="AW395" s="915"/>
      <c r="AX395" s="915"/>
      <c r="AY395" s="915"/>
      <c r="AZ395" s="915"/>
      <c r="BA395" s="915"/>
      <c r="BB395" s="915"/>
      <c r="BC395" s="915"/>
      <c r="BD395" s="915"/>
      <c r="BE395" s="915"/>
      <c r="BF395" s="915"/>
      <c r="BG395" s="766">
        <v>10</v>
      </c>
    </row>
    <row customHeight="1" ht="10.5">
      <c r="E396" s="915"/>
      <c r="F396" s="2428"/>
      <c r="G396" s="2428"/>
      <c r="H396" s="2428"/>
      <c r="I396" s="2428"/>
      <c r="J396" s="2428"/>
      <c r="K396" s="919"/>
      <c r="L396" s="1135"/>
      <c r="M396" s="1135"/>
      <c r="N396" s="921"/>
      <c r="O396" s="921"/>
      <c r="P396" s="921"/>
      <c r="Q396" s="921"/>
      <c r="R396" s="921"/>
      <c r="S396" s="921"/>
      <c r="T396" s="921"/>
      <c r="U396" s="921"/>
      <c r="V396" s="921"/>
      <c r="W396" s="921"/>
      <c r="X396" s="921"/>
      <c r="Y396" s="921"/>
      <c r="Z396" s="919"/>
      <c r="AA396" s="919"/>
      <c r="AB396" s="919"/>
      <c r="AC396" s="919"/>
      <c r="AD396" s="1135"/>
      <c r="AE396" s="919"/>
      <c r="AF396" s="919"/>
      <c r="AG396" s="919"/>
      <c r="AH396" s="1154"/>
      <c r="AI396" s="1147"/>
      <c r="AJ396" s="919"/>
      <c r="AK396" s="919"/>
      <c r="AL396" s="915"/>
      <c r="AM396" s="915"/>
      <c r="AN396" s="915"/>
      <c r="AO396" s="915"/>
      <c r="AP396" s="915"/>
      <c r="AQ396" s="915"/>
      <c r="AR396" s="915"/>
      <c r="AS396" s="915"/>
      <c r="AT396" s="915"/>
      <c r="AU396" s="915"/>
      <c r="AV396" s="915"/>
      <c r="AW396" s="915"/>
      <c r="AX396" s="915"/>
      <c r="AY396" s="915"/>
      <c r="AZ396" s="915"/>
      <c r="BA396" s="915"/>
      <c r="BB396" s="915"/>
      <c r="BC396" s="915"/>
      <c r="BD396" s="915"/>
      <c r="BE396" s="915"/>
      <c r="BF396" s="915"/>
      <c r="BG396" s="766">
        <v>10</v>
      </c>
    </row>
    <row customHeight="1" ht="10.5">
      <c r="E397" s="915"/>
      <c r="F397" s="2428"/>
      <c r="G397" s="2428"/>
      <c r="H397" s="2428"/>
      <c r="I397" s="2428"/>
      <c r="J397" s="2428"/>
      <c r="K397" s="919"/>
      <c r="L397" s="1135"/>
      <c r="M397" s="1135"/>
      <c r="N397" s="921"/>
      <c r="O397" s="921"/>
      <c r="P397" s="921"/>
      <c r="Q397" s="921"/>
      <c r="R397" s="921"/>
      <c r="S397" s="921"/>
      <c r="T397" s="921"/>
      <c r="U397" s="921"/>
      <c r="V397" s="921"/>
      <c r="W397" s="921"/>
      <c r="X397" s="921"/>
      <c r="Y397" s="921"/>
      <c r="Z397" s="919"/>
      <c r="AA397" s="919"/>
      <c r="AB397" s="919"/>
      <c r="AC397" s="919"/>
      <c r="AD397" s="1135"/>
      <c r="AE397" s="919"/>
      <c r="AF397" s="919"/>
      <c r="AG397" s="919"/>
      <c r="AH397" s="1154"/>
      <c r="AI397" s="1147"/>
      <c r="AJ397" s="919"/>
      <c r="AK397" s="919"/>
      <c r="AL397" s="915"/>
      <c r="AM397" s="915"/>
      <c r="AN397" s="915"/>
      <c r="AO397" s="915"/>
      <c r="AP397" s="915"/>
      <c r="AQ397" s="915"/>
      <c r="AR397" s="915"/>
      <c r="AS397" s="915"/>
      <c r="AT397" s="915"/>
      <c r="AU397" s="915"/>
      <c r="AV397" s="915"/>
      <c r="AW397" s="915"/>
      <c r="AX397" s="915"/>
      <c r="AY397" s="915"/>
      <c r="AZ397" s="915"/>
      <c r="BA397" s="915"/>
      <c r="BB397" s="915"/>
      <c r="BC397" s="915"/>
      <c r="BD397" s="915"/>
      <c r="BE397" s="915"/>
      <c r="BF397" s="915"/>
      <c r="BG397" s="766">
        <v>10</v>
      </c>
    </row>
    <row customHeight="1" ht="10.5" hidden="1">
      <c r="A398" s="903" t="s">
        <v>82</v>
      </c>
      <c r="B398" s="903">
        <v>0</v>
      </c>
      <c r="C398" s="903">
        <v>0</v>
      </c>
      <c r="D398" s="425">
        <v>0</v>
      </c>
      <c r="E398" s="517">
        <v>3</v>
      </c>
      <c r="F398" s="766">
        <v>14</v>
      </c>
      <c r="G398" s="766">
        <v>3</v>
      </c>
      <c r="H398" s="1163">
        <v>7</v>
      </c>
      <c r="I398" s="766">
        <v>16</v>
      </c>
      <c r="J398" s="766">
        <v>16</v>
      </c>
      <c r="K398" s="766">
        <v>25</v>
      </c>
      <c r="L398" s="1133">
        <v>7</v>
      </c>
      <c r="M398" s="1133">
        <v>15</v>
      </c>
      <c r="N398" s="766">
        <v>3</v>
      </c>
      <c r="O398" s="766">
        <v>4</v>
      </c>
      <c r="P398" s="766">
        <v>8</v>
      </c>
      <c r="Q398" s="766">
        <v>21</v>
      </c>
      <c r="R398" s="766">
        <v>14</v>
      </c>
      <c r="S398" s="766">
        <v>17</v>
      </c>
      <c r="T398" s="766">
        <v>17</v>
      </c>
      <c r="U398" s="766">
        <v>9</v>
      </c>
      <c r="V398" s="766">
        <v>12</v>
      </c>
      <c r="W398" s="766">
        <v>9</v>
      </c>
      <c r="X398" s="766">
        <v>21</v>
      </c>
      <c r="Y398" s="766">
        <v>12</v>
      </c>
      <c r="Z398" s="766">
        <v>3</v>
      </c>
      <c r="AA398" s="766">
        <v>6</v>
      </c>
      <c r="AB398" s="766">
        <v>38</v>
      </c>
      <c r="AC398" s="766">
        <v>15</v>
      </c>
      <c r="AD398" s="1133">
        <v>0</v>
      </c>
      <c r="AE398" s="766">
        <v>0</v>
      </c>
      <c r="AF398" s="766">
        <v>16</v>
      </c>
      <c r="AG398" s="766">
        <v>16</v>
      </c>
      <c r="AH398" s="1152">
        <v>16</v>
      </c>
      <c r="AI398" s="1145">
        <v>0</v>
      </c>
      <c r="AJ398" s="766">
        <v>0</v>
      </c>
      <c r="AK398" s="766">
        <v>0</v>
      </c>
      <c r="AL398" s="766">
        <v>8</v>
      </c>
      <c r="AM398" s="766">
        <v>8</v>
      </c>
      <c r="AN398" s="766">
        <v>8</v>
      </c>
      <c r="AO398" s="766">
        <v>8</v>
      </c>
      <c r="AP398" s="766">
        <v>8</v>
      </c>
      <c r="AQ398" s="766">
        <v>8</v>
      </c>
      <c r="AR398" s="766">
        <v>8</v>
      </c>
      <c r="AS398" s="766">
        <v>8</v>
      </c>
      <c r="AT398" s="766">
        <v>8</v>
      </c>
      <c r="AU398" s="766">
        <v>8</v>
      </c>
      <c r="AV398" s="766">
        <v>8</v>
      </c>
      <c r="AW398" s="766">
        <v>8</v>
      </c>
      <c r="AX398" s="766">
        <v>8</v>
      </c>
      <c r="AY398" s="766">
        <v>8</v>
      </c>
      <c r="AZ398" s="766">
        <v>8</v>
      </c>
      <c r="BA398" s="766">
        <v>8</v>
      </c>
      <c r="BB398" s="766">
        <v>8</v>
      </c>
      <c r="BC398" s="766">
        <v>8</v>
      </c>
      <c r="BD398" s="766">
        <v>8</v>
      </c>
      <c r="BE398" s="766">
        <v>8</v>
      </c>
      <c r="BF398" s="766">
        <v>8</v>
      </c>
      <c r="BG398" s="766">
        <v>10</v>
      </c>
    </row>
  </sheetData>
  <sheetProtection sheet="1" formatColumns="0" formatRows="0" autoFilter="0" sort="1" insertRows="1" insertColumns="1" deleteRows="1" deleteColumns="1"/>
  <mergeCells count="1640">
    <mergeCell ref="AB9:AE10"/>
    <mergeCell ref="S11:Y11"/>
    <mergeCell ref="N10:Y10"/>
    <mergeCell ref="K9:Y9"/>
    <mergeCell ref="N11:O12"/>
    <mergeCell ref="P11:P12"/>
    <mergeCell ref="Q11:Q12"/>
    <mergeCell ref="F397:J397"/>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396:J396"/>
    <mergeCell ref="F395:J395"/>
    <mergeCell ref="F5:K5"/>
    <mergeCell ref="P16:P18"/>
    <mergeCell ref="Q16:Q18"/>
    <mergeCell ref="R16:R18"/>
    <mergeCell ref="G15:G19"/>
    <mergeCell ref="AJ15:AJ19"/>
    <mergeCell ref="AK15:AK19"/>
    <mergeCell ref="I361:K361"/>
    <mergeCell ref="F15:F361"/>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63:P365"/>
    <mergeCell ref="Q363:Q365"/>
    <mergeCell ref="R363:R365"/>
    <mergeCell ref="G362:G366"/>
    <mergeCell ref="AJ362:AJ366"/>
    <mergeCell ref="AK362:AK366"/>
    <mergeCell ref="I367:K367"/>
    <mergeCell ref="F362:F367"/>
    <mergeCell ref="AF362:AF366"/>
    <mergeCell ref="AG362:AG366"/>
    <mergeCell ref="AH362:AH366"/>
    <mergeCell ref="AI362:AI366"/>
    <mergeCell ref="S363:S365"/>
    <mergeCell ref="T363:T365"/>
    <mergeCell ref="U363:U365"/>
    <mergeCell ref="V363:V365"/>
    <mergeCell ref="W363:W365"/>
    <mergeCell ref="X363:X365"/>
    <mergeCell ref="Y363:Y365"/>
    <mergeCell ref="H362:H366"/>
    <mergeCell ref="I362:I366"/>
    <mergeCell ref="J362:J366"/>
    <mergeCell ref="K362:K366"/>
    <mergeCell ref="L362:L366"/>
    <mergeCell ref="M362:M366"/>
    <mergeCell ref="N363:N365"/>
    <mergeCell ref="O363:O365"/>
    <mergeCell ref="P369:P371"/>
    <mergeCell ref="Q369:Q371"/>
    <mergeCell ref="R369:R371"/>
    <mergeCell ref="G368:G372"/>
    <mergeCell ref="AJ368:AJ372"/>
    <mergeCell ref="AK368:AK372"/>
    <mergeCell ref="I373:K373"/>
    <mergeCell ref="F368:F373"/>
    <mergeCell ref="AF368:AF372"/>
    <mergeCell ref="AG368:AG372"/>
    <mergeCell ref="AH368:AH372"/>
    <mergeCell ref="AI368:AI372"/>
    <mergeCell ref="S369:S371"/>
    <mergeCell ref="T369:T371"/>
    <mergeCell ref="U369:U371"/>
    <mergeCell ref="V369:V371"/>
    <mergeCell ref="W369:W371"/>
    <mergeCell ref="X369:X371"/>
    <mergeCell ref="Y369:Y371"/>
    <mergeCell ref="H368:H372"/>
    <mergeCell ref="I368:I372"/>
    <mergeCell ref="J368:J372"/>
    <mergeCell ref="K368:K372"/>
    <mergeCell ref="L368:L372"/>
    <mergeCell ref="M368:M372"/>
    <mergeCell ref="N369:N371"/>
    <mergeCell ref="O369:O371"/>
    <mergeCell ref="P375:P377"/>
    <mergeCell ref="Q375:Q377"/>
    <mergeCell ref="R375:R377"/>
    <mergeCell ref="G374:G378"/>
    <mergeCell ref="AJ374:AJ378"/>
    <mergeCell ref="AK374:AK378"/>
    <mergeCell ref="I379:K379"/>
    <mergeCell ref="F374:F379"/>
    <mergeCell ref="AF374:AF378"/>
    <mergeCell ref="AG374:AG378"/>
    <mergeCell ref="AH374:AH378"/>
    <mergeCell ref="AI374:AI378"/>
    <mergeCell ref="S375:S377"/>
    <mergeCell ref="T375:T377"/>
    <mergeCell ref="U375:U377"/>
    <mergeCell ref="V375:V377"/>
    <mergeCell ref="W375:W377"/>
    <mergeCell ref="X375:X377"/>
    <mergeCell ref="Y375:Y377"/>
    <mergeCell ref="H374:H378"/>
    <mergeCell ref="I374:I378"/>
    <mergeCell ref="J374:J378"/>
    <mergeCell ref="K374:K378"/>
    <mergeCell ref="L374:L378"/>
    <mergeCell ref="M374:M378"/>
    <mergeCell ref="N375:N377"/>
    <mergeCell ref="O375:O377"/>
    <mergeCell ref="P381:P383"/>
    <mergeCell ref="Q381:Q383"/>
    <mergeCell ref="R381:R383"/>
    <mergeCell ref="G380:G384"/>
    <mergeCell ref="AJ380:AJ384"/>
    <mergeCell ref="AK380:AK384"/>
    <mergeCell ref="I385:K385"/>
    <mergeCell ref="F380:F385"/>
    <mergeCell ref="AF380:AF384"/>
    <mergeCell ref="AG380:AG384"/>
    <mergeCell ref="AH380:AH384"/>
    <mergeCell ref="AI380:AI384"/>
    <mergeCell ref="S381:S383"/>
    <mergeCell ref="T381:T383"/>
    <mergeCell ref="U381:U383"/>
    <mergeCell ref="V381:V383"/>
    <mergeCell ref="W381:W383"/>
    <mergeCell ref="X381:X383"/>
    <mergeCell ref="Y381:Y383"/>
    <mergeCell ref="H380:H384"/>
    <mergeCell ref="I380:I384"/>
    <mergeCell ref="J380:J384"/>
    <mergeCell ref="K380:K384"/>
    <mergeCell ref="L380:L384"/>
    <mergeCell ref="M380:M384"/>
    <mergeCell ref="N381:N383"/>
    <mergeCell ref="O381:O383"/>
    <mergeCell ref="P387:P389"/>
    <mergeCell ref="Q387:Q389"/>
    <mergeCell ref="R387:R389"/>
    <mergeCell ref="G386:G390"/>
    <mergeCell ref="AJ386:AJ390"/>
    <mergeCell ref="AK386:AK390"/>
    <mergeCell ref="I391:K391"/>
    <mergeCell ref="F386:F391"/>
    <mergeCell ref="AF386:AF390"/>
    <mergeCell ref="AG386:AG390"/>
    <mergeCell ref="AH386:AH390"/>
    <mergeCell ref="AI386:AI390"/>
    <mergeCell ref="S387:S389"/>
    <mergeCell ref="T387:T389"/>
    <mergeCell ref="U387:U389"/>
    <mergeCell ref="V387:V389"/>
    <mergeCell ref="W387:W389"/>
    <mergeCell ref="X387:X389"/>
    <mergeCell ref="Y387:Y389"/>
    <mergeCell ref="H386:H390"/>
    <mergeCell ref="I386:I390"/>
    <mergeCell ref="J386:J390"/>
    <mergeCell ref="K386:K390"/>
    <mergeCell ref="L386:L390"/>
    <mergeCell ref="M386:M390"/>
    <mergeCell ref="N387:N389"/>
    <mergeCell ref="O387:O389"/>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5"/>
    <mergeCell ref="I30:I35"/>
    <mergeCell ref="J30:J35"/>
    <mergeCell ref="K30:K35"/>
    <mergeCell ref="L30:L35"/>
    <mergeCell ref="M30:M35"/>
    <mergeCell ref="AF30:AF35"/>
    <mergeCell ref="AG30:AG35"/>
    <mergeCell ref="AH30:AH35"/>
    <mergeCell ref="AI30:AI35"/>
    <mergeCell ref="AJ30:AJ35"/>
    <mergeCell ref="AK30:AK35"/>
    <mergeCell ref="N31:N34"/>
    <mergeCell ref="O31:O34"/>
    <mergeCell ref="P31:P34"/>
    <mergeCell ref="Q31:Q34"/>
    <mergeCell ref="R31:R34"/>
    <mergeCell ref="S31:S34"/>
    <mergeCell ref="T31:T34"/>
    <mergeCell ref="U31:U34"/>
    <mergeCell ref="V31:V34"/>
    <mergeCell ref="W31:W34"/>
    <mergeCell ref="X31:X34"/>
    <mergeCell ref="Y31:Y34"/>
    <mergeCell ref="G30:G35"/>
    <mergeCell ref="H36:H41"/>
    <mergeCell ref="I36:I41"/>
    <mergeCell ref="J36:J41"/>
    <mergeCell ref="K36:K41"/>
    <mergeCell ref="L36:L41"/>
    <mergeCell ref="M36:M41"/>
    <mergeCell ref="AF36:AF41"/>
    <mergeCell ref="AG36:AG41"/>
    <mergeCell ref="AH36:AH41"/>
    <mergeCell ref="AI36:AI41"/>
    <mergeCell ref="AJ36:AJ41"/>
    <mergeCell ref="AK36:AK41"/>
    <mergeCell ref="N37:N40"/>
    <mergeCell ref="O37:O40"/>
    <mergeCell ref="P37:P40"/>
    <mergeCell ref="Q37:Q40"/>
    <mergeCell ref="R37:R40"/>
    <mergeCell ref="S37:S40"/>
    <mergeCell ref="T37:T40"/>
    <mergeCell ref="U37:U40"/>
    <mergeCell ref="V37:V40"/>
    <mergeCell ref="W37:W40"/>
    <mergeCell ref="X37:X40"/>
    <mergeCell ref="Y37:Y40"/>
    <mergeCell ref="G36:G41"/>
    <mergeCell ref="H42:H47"/>
    <mergeCell ref="I42:I47"/>
    <mergeCell ref="J42:J47"/>
    <mergeCell ref="K42:K47"/>
    <mergeCell ref="L42:L47"/>
    <mergeCell ref="M42:M47"/>
    <mergeCell ref="AF42:AF47"/>
    <mergeCell ref="AG42:AG47"/>
    <mergeCell ref="AH42:AH47"/>
    <mergeCell ref="AI42:AI47"/>
    <mergeCell ref="AJ42:AJ47"/>
    <mergeCell ref="AK42:AK47"/>
    <mergeCell ref="N43:N46"/>
    <mergeCell ref="O43:O46"/>
    <mergeCell ref="P43:P46"/>
    <mergeCell ref="Q43:Q46"/>
    <mergeCell ref="R43:R46"/>
    <mergeCell ref="S43:S46"/>
    <mergeCell ref="T43:T46"/>
    <mergeCell ref="U43:U46"/>
    <mergeCell ref="V43:V46"/>
    <mergeCell ref="W43:W46"/>
    <mergeCell ref="X43:X46"/>
    <mergeCell ref="Y43:Y46"/>
    <mergeCell ref="G42:G47"/>
    <mergeCell ref="H48:H53"/>
    <mergeCell ref="I48:I53"/>
    <mergeCell ref="J48:J53"/>
    <mergeCell ref="K48:K53"/>
    <mergeCell ref="L48:L53"/>
    <mergeCell ref="M48:M53"/>
    <mergeCell ref="AF48:AF53"/>
    <mergeCell ref="AG48:AG53"/>
    <mergeCell ref="AH48:AH53"/>
    <mergeCell ref="AI48:AI53"/>
    <mergeCell ref="AJ48:AJ53"/>
    <mergeCell ref="AK48:AK53"/>
    <mergeCell ref="N49:N52"/>
    <mergeCell ref="O49:O52"/>
    <mergeCell ref="P49:P52"/>
    <mergeCell ref="Q49:Q52"/>
    <mergeCell ref="R49:R52"/>
    <mergeCell ref="S49:S52"/>
    <mergeCell ref="T49:T52"/>
    <mergeCell ref="U49:U52"/>
    <mergeCell ref="V49:V52"/>
    <mergeCell ref="W49:W52"/>
    <mergeCell ref="X49:X52"/>
    <mergeCell ref="Y49:Y52"/>
    <mergeCell ref="G48:G53"/>
    <mergeCell ref="H54:H58"/>
    <mergeCell ref="I54:I58"/>
    <mergeCell ref="J54:J58"/>
    <mergeCell ref="K54:K58"/>
    <mergeCell ref="L54:L58"/>
    <mergeCell ref="M54:M58"/>
    <mergeCell ref="AF54:AF58"/>
    <mergeCell ref="AG54:AG58"/>
    <mergeCell ref="AH54:AH58"/>
    <mergeCell ref="AI54:AI58"/>
    <mergeCell ref="AJ54:AJ58"/>
    <mergeCell ref="AK54:AK58"/>
    <mergeCell ref="N55:N57"/>
    <mergeCell ref="O55:O57"/>
    <mergeCell ref="P55:P57"/>
    <mergeCell ref="Q55:Q57"/>
    <mergeCell ref="R55:R57"/>
    <mergeCell ref="S55:S57"/>
    <mergeCell ref="T55:T57"/>
    <mergeCell ref="U55:U57"/>
    <mergeCell ref="V55:V57"/>
    <mergeCell ref="W55:W57"/>
    <mergeCell ref="X55:X57"/>
    <mergeCell ref="Y55:Y57"/>
    <mergeCell ref="G54:G58"/>
    <mergeCell ref="H59:H63"/>
    <mergeCell ref="I59:I63"/>
    <mergeCell ref="J59:J63"/>
    <mergeCell ref="K59:K63"/>
    <mergeCell ref="L59:L63"/>
    <mergeCell ref="M59:M63"/>
    <mergeCell ref="AF59:AF63"/>
    <mergeCell ref="AG59:AG63"/>
    <mergeCell ref="AH59:AH63"/>
    <mergeCell ref="AI59:AI63"/>
    <mergeCell ref="AJ59:AJ63"/>
    <mergeCell ref="AK59:AK63"/>
    <mergeCell ref="N60:N62"/>
    <mergeCell ref="O60:O62"/>
    <mergeCell ref="P60:P62"/>
    <mergeCell ref="Q60:Q62"/>
    <mergeCell ref="R60:R62"/>
    <mergeCell ref="S60:S62"/>
    <mergeCell ref="T60:T62"/>
    <mergeCell ref="U60:U62"/>
    <mergeCell ref="V60:V62"/>
    <mergeCell ref="W60:W62"/>
    <mergeCell ref="X60:X62"/>
    <mergeCell ref="Y60:Y62"/>
    <mergeCell ref="G59:G63"/>
    <mergeCell ref="H64:H69"/>
    <mergeCell ref="I64:I69"/>
    <mergeCell ref="J64:J69"/>
    <mergeCell ref="K64:K69"/>
    <mergeCell ref="L64:L69"/>
    <mergeCell ref="M64:M69"/>
    <mergeCell ref="AF64:AF69"/>
    <mergeCell ref="AG64:AG69"/>
    <mergeCell ref="AH64:AH69"/>
    <mergeCell ref="AI64:AI69"/>
    <mergeCell ref="AJ64:AJ69"/>
    <mergeCell ref="AK64:AK69"/>
    <mergeCell ref="N65:N68"/>
    <mergeCell ref="O65:O68"/>
    <mergeCell ref="P65:P68"/>
    <mergeCell ref="Q65:Q68"/>
    <mergeCell ref="R65:R68"/>
    <mergeCell ref="S65:S68"/>
    <mergeCell ref="T65:T68"/>
    <mergeCell ref="U65:U68"/>
    <mergeCell ref="V65:V68"/>
    <mergeCell ref="W65:W68"/>
    <mergeCell ref="X65:X68"/>
    <mergeCell ref="Y65:Y68"/>
    <mergeCell ref="G64:G69"/>
    <mergeCell ref="H70:H75"/>
    <mergeCell ref="I70:I75"/>
    <mergeCell ref="J70:J75"/>
    <mergeCell ref="K70:K75"/>
    <mergeCell ref="L70:L75"/>
    <mergeCell ref="M70:M75"/>
    <mergeCell ref="AF70:AF75"/>
    <mergeCell ref="AG70:AG75"/>
    <mergeCell ref="AH70:AH75"/>
    <mergeCell ref="AI70:AI75"/>
    <mergeCell ref="AJ70:AJ75"/>
    <mergeCell ref="AK70:AK75"/>
    <mergeCell ref="N71:N74"/>
    <mergeCell ref="O71:O74"/>
    <mergeCell ref="P71:P74"/>
    <mergeCell ref="Q71:Q74"/>
    <mergeCell ref="R71:R74"/>
    <mergeCell ref="S71:S74"/>
    <mergeCell ref="T71:T74"/>
    <mergeCell ref="U71:U74"/>
    <mergeCell ref="V71:V74"/>
    <mergeCell ref="W71:W74"/>
    <mergeCell ref="X71:X74"/>
    <mergeCell ref="Y71:Y74"/>
    <mergeCell ref="G70:G75"/>
    <mergeCell ref="H76:H81"/>
    <mergeCell ref="I76:I81"/>
    <mergeCell ref="J76:J81"/>
    <mergeCell ref="K76:K81"/>
    <mergeCell ref="L76:L81"/>
    <mergeCell ref="M76:M81"/>
    <mergeCell ref="AF76:AF81"/>
    <mergeCell ref="AG76:AG81"/>
    <mergeCell ref="AH76:AH81"/>
    <mergeCell ref="AI76:AI81"/>
    <mergeCell ref="AJ76:AJ81"/>
    <mergeCell ref="AK76:AK81"/>
    <mergeCell ref="N77:N80"/>
    <mergeCell ref="O77:O80"/>
    <mergeCell ref="P77:P80"/>
    <mergeCell ref="Q77:Q80"/>
    <mergeCell ref="R77:R80"/>
    <mergeCell ref="S77:S80"/>
    <mergeCell ref="T77:T80"/>
    <mergeCell ref="U77:U80"/>
    <mergeCell ref="V77:V80"/>
    <mergeCell ref="W77:W80"/>
    <mergeCell ref="X77:X80"/>
    <mergeCell ref="Y77:Y80"/>
    <mergeCell ref="G76:G81"/>
    <mergeCell ref="H82:H87"/>
    <mergeCell ref="I82:I87"/>
    <mergeCell ref="J82:J87"/>
    <mergeCell ref="K82:K87"/>
    <mergeCell ref="L82:L87"/>
    <mergeCell ref="M82:M87"/>
    <mergeCell ref="AF82:AF87"/>
    <mergeCell ref="AG82:AG87"/>
    <mergeCell ref="AH82:AH87"/>
    <mergeCell ref="AI82:AI87"/>
    <mergeCell ref="AJ82:AJ87"/>
    <mergeCell ref="AK82:AK87"/>
    <mergeCell ref="N83:N86"/>
    <mergeCell ref="O83:O86"/>
    <mergeCell ref="P83:P86"/>
    <mergeCell ref="Q83:Q86"/>
    <mergeCell ref="R83:R86"/>
    <mergeCell ref="S83:S86"/>
    <mergeCell ref="T83:T86"/>
    <mergeCell ref="U83:U86"/>
    <mergeCell ref="V83:V86"/>
    <mergeCell ref="W83:W86"/>
    <mergeCell ref="X83:X86"/>
    <mergeCell ref="Y83:Y86"/>
    <mergeCell ref="G82:G87"/>
    <mergeCell ref="H88:H92"/>
    <mergeCell ref="I88:I92"/>
    <mergeCell ref="J88:J92"/>
    <mergeCell ref="K88:K92"/>
    <mergeCell ref="L88:L92"/>
    <mergeCell ref="M88:M92"/>
    <mergeCell ref="AF88:AF92"/>
    <mergeCell ref="AG88:AG92"/>
    <mergeCell ref="AH88:AH92"/>
    <mergeCell ref="AI88:AI92"/>
    <mergeCell ref="AJ88:AJ92"/>
    <mergeCell ref="AK88:AK92"/>
    <mergeCell ref="N89:N91"/>
    <mergeCell ref="O89:O91"/>
    <mergeCell ref="P89:P91"/>
    <mergeCell ref="Q89:Q91"/>
    <mergeCell ref="R89:R91"/>
    <mergeCell ref="S89:S91"/>
    <mergeCell ref="T89:T91"/>
    <mergeCell ref="U89:U91"/>
    <mergeCell ref="V89:V91"/>
    <mergeCell ref="W89:W91"/>
    <mergeCell ref="X89:X91"/>
    <mergeCell ref="Y89:Y91"/>
    <mergeCell ref="G88:G92"/>
    <mergeCell ref="H93:H98"/>
    <mergeCell ref="I93:I98"/>
    <mergeCell ref="J93:J98"/>
    <mergeCell ref="K93:K98"/>
    <mergeCell ref="L93:L98"/>
    <mergeCell ref="M93:M98"/>
    <mergeCell ref="AF93:AF98"/>
    <mergeCell ref="AG93:AG98"/>
    <mergeCell ref="AH93:AH98"/>
    <mergeCell ref="AI93:AI98"/>
    <mergeCell ref="AJ93:AJ98"/>
    <mergeCell ref="AK93:AK98"/>
    <mergeCell ref="N94:N97"/>
    <mergeCell ref="O94:O97"/>
    <mergeCell ref="P94:P97"/>
    <mergeCell ref="Q94:Q97"/>
    <mergeCell ref="R94:R97"/>
    <mergeCell ref="S94:S97"/>
    <mergeCell ref="T94:T97"/>
    <mergeCell ref="U94:U97"/>
    <mergeCell ref="V94:V97"/>
    <mergeCell ref="W94:W97"/>
    <mergeCell ref="X94:X97"/>
    <mergeCell ref="Y94:Y97"/>
    <mergeCell ref="G93:G98"/>
    <mergeCell ref="H99:H103"/>
    <mergeCell ref="I99:I103"/>
    <mergeCell ref="J99:J103"/>
    <mergeCell ref="K99:K103"/>
    <mergeCell ref="L99:L103"/>
    <mergeCell ref="M99:M103"/>
    <mergeCell ref="AF99:AF103"/>
    <mergeCell ref="AG99:AG103"/>
    <mergeCell ref="AH99:AH103"/>
    <mergeCell ref="AI99:AI103"/>
    <mergeCell ref="AJ99:AJ103"/>
    <mergeCell ref="AK99:AK103"/>
    <mergeCell ref="N100:N102"/>
    <mergeCell ref="O100:O102"/>
    <mergeCell ref="P100:P102"/>
    <mergeCell ref="Q100:Q102"/>
    <mergeCell ref="R100:R102"/>
    <mergeCell ref="S100:S102"/>
    <mergeCell ref="T100:T102"/>
    <mergeCell ref="U100:U102"/>
    <mergeCell ref="V100:V102"/>
    <mergeCell ref="W100:W102"/>
    <mergeCell ref="X100:X102"/>
    <mergeCell ref="Y100:Y102"/>
    <mergeCell ref="G99:G103"/>
    <mergeCell ref="H104:H109"/>
    <mergeCell ref="I104:I109"/>
    <mergeCell ref="J104:J109"/>
    <mergeCell ref="K104:K109"/>
    <mergeCell ref="L104:L109"/>
    <mergeCell ref="M104:M109"/>
    <mergeCell ref="AF104:AF109"/>
    <mergeCell ref="AG104:AG109"/>
    <mergeCell ref="AH104:AH109"/>
    <mergeCell ref="AI104:AI109"/>
    <mergeCell ref="AJ104:AJ109"/>
    <mergeCell ref="AK104:AK109"/>
    <mergeCell ref="N105:N108"/>
    <mergeCell ref="O105:O108"/>
    <mergeCell ref="P105:P108"/>
    <mergeCell ref="Q105:Q108"/>
    <mergeCell ref="R105:R108"/>
    <mergeCell ref="S105:S108"/>
    <mergeCell ref="T105:T108"/>
    <mergeCell ref="U105:U108"/>
    <mergeCell ref="V105:V108"/>
    <mergeCell ref="W105:W108"/>
    <mergeCell ref="X105:X108"/>
    <mergeCell ref="Y105:Y108"/>
    <mergeCell ref="G104:G109"/>
    <mergeCell ref="H110:H115"/>
    <mergeCell ref="I110:I115"/>
    <mergeCell ref="J110:J115"/>
    <mergeCell ref="K110:K115"/>
    <mergeCell ref="L110:L115"/>
    <mergeCell ref="M110:M115"/>
    <mergeCell ref="AF110:AF115"/>
    <mergeCell ref="AG110:AG115"/>
    <mergeCell ref="AH110:AH115"/>
    <mergeCell ref="AI110:AI115"/>
    <mergeCell ref="AJ110:AJ115"/>
    <mergeCell ref="AK110:AK115"/>
    <mergeCell ref="N111:N114"/>
    <mergeCell ref="O111:O114"/>
    <mergeCell ref="P111:P114"/>
    <mergeCell ref="Q111:Q114"/>
    <mergeCell ref="R111:R114"/>
    <mergeCell ref="S111:S114"/>
    <mergeCell ref="T111:T114"/>
    <mergeCell ref="U111:U114"/>
    <mergeCell ref="V111:V114"/>
    <mergeCell ref="W111:W114"/>
    <mergeCell ref="X111:X114"/>
    <mergeCell ref="Y111:Y114"/>
    <mergeCell ref="G110:G11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 ref="H122:H127"/>
    <mergeCell ref="I122:I127"/>
    <mergeCell ref="J122:J127"/>
    <mergeCell ref="K122:K127"/>
    <mergeCell ref="L122:L127"/>
    <mergeCell ref="M122:M127"/>
    <mergeCell ref="AF122:AF127"/>
    <mergeCell ref="AG122:AG127"/>
    <mergeCell ref="AH122:AH127"/>
    <mergeCell ref="AI122:AI127"/>
    <mergeCell ref="AJ122:AJ127"/>
    <mergeCell ref="AK122:AK127"/>
    <mergeCell ref="N123:N126"/>
    <mergeCell ref="O123:O126"/>
    <mergeCell ref="P123:P126"/>
    <mergeCell ref="Q123:Q126"/>
    <mergeCell ref="R123:R126"/>
    <mergeCell ref="S123:S126"/>
    <mergeCell ref="T123:T126"/>
    <mergeCell ref="U123:U126"/>
    <mergeCell ref="V123:V126"/>
    <mergeCell ref="W123:W126"/>
    <mergeCell ref="X123:X126"/>
    <mergeCell ref="Y123:Y126"/>
    <mergeCell ref="G122:G127"/>
    <mergeCell ref="H128:H133"/>
    <mergeCell ref="I128:I133"/>
    <mergeCell ref="J128:J133"/>
    <mergeCell ref="K128:K133"/>
    <mergeCell ref="L128:L133"/>
    <mergeCell ref="M128:M133"/>
    <mergeCell ref="AF128:AF133"/>
    <mergeCell ref="AG128:AG133"/>
    <mergeCell ref="AH128:AH133"/>
    <mergeCell ref="AI128:AI133"/>
    <mergeCell ref="AJ128:AJ133"/>
    <mergeCell ref="AK128:AK133"/>
    <mergeCell ref="N129:N132"/>
    <mergeCell ref="O129:O132"/>
    <mergeCell ref="P129:P132"/>
    <mergeCell ref="Q129:Q132"/>
    <mergeCell ref="R129:R132"/>
    <mergeCell ref="S129:S132"/>
    <mergeCell ref="T129:T132"/>
    <mergeCell ref="U129:U132"/>
    <mergeCell ref="V129:V132"/>
    <mergeCell ref="W129:W132"/>
    <mergeCell ref="X129:X132"/>
    <mergeCell ref="Y129:Y132"/>
    <mergeCell ref="G128:G133"/>
    <mergeCell ref="H134:H139"/>
    <mergeCell ref="I134:I139"/>
    <mergeCell ref="J134:J139"/>
    <mergeCell ref="K134:K139"/>
    <mergeCell ref="L134:L139"/>
    <mergeCell ref="M134:M139"/>
    <mergeCell ref="AF134:AF139"/>
    <mergeCell ref="AG134:AG139"/>
    <mergeCell ref="AH134:AH139"/>
    <mergeCell ref="AI134:AI139"/>
    <mergeCell ref="AJ134:AJ139"/>
    <mergeCell ref="AK134:AK139"/>
    <mergeCell ref="N135:N138"/>
    <mergeCell ref="O135:O138"/>
    <mergeCell ref="P135:P138"/>
    <mergeCell ref="Q135:Q138"/>
    <mergeCell ref="R135:R138"/>
    <mergeCell ref="S135:S138"/>
    <mergeCell ref="T135:T138"/>
    <mergeCell ref="U135:U138"/>
    <mergeCell ref="V135:V138"/>
    <mergeCell ref="W135:W138"/>
    <mergeCell ref="X135:X138"/>
    <mergeCell ref="Y135:Y138"/>
    <mergeCell ref="G134:G139"/>
    <mergeCell ref="H140:H145"/>
    <mergeCell ref="I140:I145"/>
    <mergeCell ref="J140:J145"/>
    <mergeCell ref="K140:K145"/>
    <mergeCell ref="L140:L145"/>
    <mergeCell ref="M140:M145"/>
    <mergeCell ref="AF140:AF145"/>
    <mergeCell ref="AG140:AG145"/>
    <mergeCell ref="AH140:AH145"/>
    <mergeCell ref="AI140:AI145"/>
    <mergeCell ref="AJ140:AJ145"/>
    <mergeCell ref="AK140:AK145"/>
    <mergeCell ref="N141:N144"/>
    <mergeCell ref="O141:O144"/>
    <mergeCell ref="P141:P144"/>
    <mergeCell ref="Q141:Q144"/>
    <mergeCell ref="R141:R144"/>
    <mergeCell ref="S141:S144"/>
    <mergeCell ref="T141:T144"/>
    <mergeCell ref="U141:U144"/>
    <mergeCell ref="V141:V144"/>
    <mergeCell ref="W141:W144"/>
    <mergeCell ref="X141:X144"/>
    <mergeCell ref="Y141:Y144"/>
    <mergeCell ref="G140:G145"/>
    <mergeCell ref="H146:H151"/>
    <mergeCell ref="I146:I151"/>
    <mergeCell ref="J146:J151"/>
    <mergeCell ref="K146:K151"/>
    <mergeCell ref="L146:L151"/>
    <mergeCell ref="M146:M151"/>
    <mergeCell ref="AF146:AF151"/>
    <mergeCell ref="AG146:AG151"/>
    <mergeCell ref="AH146:AH151"/>
    <mergeCell ref="AI146:AI151"/>
    <mergeCell ref="AJ146:AJ151"/>
    <mergeCell ref="AK146:AK151"/>
    <mergeCell ref="N147:N150"/>
    <mergeCell ref="O147:O150"/>
    <mergeCell ref="P147:P150"/>
    <mergeCell ref="Q147:Q150"/>
    <mergeCell ref="R147:R150"/>
    <mergeCell ref="S147:S150"/>
    <mergeCell ref="T147:T150"/>
    <mergeCell ref="U147:U150"/>
    <mergeCell ref="V147:V150"/>
    <mergeCell ref="W147:W150"/>
    <mergeCell ref="X147:X150"/>
    <mergeCell ref="Y147:Y150"/>
    <mergeCell ref="G146:G151"/>
    <mergeCell ref="H152:H157"/>
    <mergeCell ref="I152:I157"/>
    <mergeCell ref="J152:J157"/>
    <mergeCell ref="K152:K157"/>
    <mergeCell ref="L152:L157"/>
    <mergeCell ref="M152:M157"/>
    <mergeCell ref="AF152:AF157"/>
    <mergeCell ref="AG152:AG157"/>
    <mergeCell ref="AH152:AH157"/>
    <mergeCell ref="AI152:AI157"/>
    <mergeCell ref="AJ152:AJ157"/>
    <mergeCell ref="AK152:AK157"/>
    <mergeCell ref="N153:N156"/>
    <mergeCell ref="O153:O156"/>
    <mergeCell ref="P153:P156"/>
    <mergeCell ref="Q153:Q156"/>
    <mergeCell ref="R153:R156"/>
    <mergeCell ref="S153:S156"/>
    <mergeCell ref="T153:T156"/>
    <mergeCell ref="U153:U156"/>
    <mergeCell ref="V153:V156"/>
    <mergeCell ref="W153:W156"/>
    <mergeCell ref="X153:X156"/>
    <mergeCell ref="Y153:Y156"/>
    <mergeCell ref="G152:G157"/>
    <mergeCell ref="H158:H163"/>
    <mergeCell ref="I158:I163"/>
    <mergeCell ref="J158:J163"/>
    <mergeCell ref="K158:K163"/>
    <mergeCell ref="L158:L163"/>
    <mergeCell ref="M158:M163"/>
    <mergeCell ref="AF158:AF163"/>
    <mergeCell ref="AG158:AG163"/>
    <mergeCell ref="AH158:AH163"/>
    <mergeCell ref="AI158:AI163"/>
    <mergeCell ref="AJ158:AJ163"/>
    <mergeCell ref="AK158:AK163"/>
    <mergeCell ref="N159:N162"/>
    <mergeCell ref="O159:O162"/>
    <mergeCell ref="P159:P162"/>
    <mergeCell ref="Q159:Q162"/>
    <mergeCell ref="R159:R162"/>
    <mergeCell ref="S159:S162"/>
    <mergeCell ref="T159:T162"/>
    <mergeCell ref="U159:U162"/>
    <mergeCell ref="V159:V162"/>
    <mergeCell ref="W159:W162"/>
    <mergeCell ref="X159:X162"/>
    <mergeCell ref="Y159:Y162"/>
    <mergeCell ref="G158:G163"/>
    <mergeCell ref="H164:H169"/>
    <mergeCell ref="I164:I169"/>
    <mergeCell ref="J164:J169"/>
    <mergeCell ref="K164:K169"/>
    <mergeCell ref="L164:L169"/>
    <mergeCell ref="M164:M169"/>
    <mergeCell ref="AF164:AF169"/>
    <mergeCell ref="AG164:AG169"/>
    <mergeCell ref="AH164:AH169"/>
    <mergeCell ref="AI164:AI169"/>
    <mergeCell ref="AJ164:AJ169"/>
    <mergeCell ref="AK164:AK169"/>
    <mergeCell ref="N165:N168"/>
    <mergeCell ref="O165:O168"/>
    <mergeCell ref="P165:P168"/>
    <mergeCell ref="Q165:Q168"/>
    <mergeCell ref="R165:R168"/>
    <mergeCell ref="S165:S168"/>
    <mergeCell ref="T165:T168"/>
    <mergeCell ref="U165:U168"/>
    <mergeCell ref="V165:V168"/>
    <mergeCell ref="W165:W168"/>
    <mergeCell ref="X165:X168"/>
    <mergeCell ref="Y165:Y168"/>
    <mergeCell ref="G164:G169"/>
    <mergeCell ref="H170:H175"/>
    <mergeCell ref="I170:I175"/>
    <mergeCell ref="J170:J175"/>
    <mergeCell ref="K170:K175"/>
    <mergeCell ref="L170:L175"/>
    <mergeCell ref="M170:M175"/>
    <mergeCell ref="AF170:AF175"/>
    <mergeCell ref="AG170:AG175"/>
    <mergeCell ref="AH170:AH175"/>
    <mergeCell ref="AI170:AI175"/>
    <mergeCell ref="AJ170:AJ175"/>
    <mergeCell ref="AK170:AK175"/>
    <mergeCell ref="N171:N174"/>
    <mergeCell ref="O171:O174"/>
    <mergeCell ref="P171:P174"/>
    <mergeCell ref="Q171:Q174"/>
    <mergeCell ref="R171:R174"/>
    <mergeCell ref="S171:S174"/>
    <mergeCell ref="T171:T174"/>
    <mergeCell ref="U171:U174"/>
    <mergeCell ref="V171:V174"/>
    <mergeCell ref="W171:W174"/>
    <mergeCell ref="X171:X174"/>
    <mergeCell ref="Y171:Y174"/>
    <mergeCell ref="G170:G175"/>
    <mergeCell ref="H176:H181"/>
    <mergeCell ref="I176:I181"/>
    <mergeCell ref="J176:J181"/>
    <mergeCell ref="K176:K181"/>
    <mergeCell ref="L176:L181"/>
    <mergeCell ref="M176:M181"/>
    <mergeCell ref="AF176:AF181"/>
    <mergeCell ref="AG176:AG181"/>
    <mergeCell ref="AH176:AH181"/>
    <mergeCell ref="AI176:AI181"/>
    <mergeCell ref="AJ176:AJ181"/>
    <mergeCell ref="AK176:AK181"/>
    <mergeCell ref="N177:N180"/>
    <mergeCell ref="O177:O180"/>
    <mergeCell ref="P177:P180"/>
    <mergeCell ref="Q177:Q180"/>
    <mergeCell ref="R177:R180"/>
    <mergeCell ref="S177:S180"/>
    <mergeCell ref="T177:T180"/>
    <mergeCell ref="U177:U180"/>
    <mergeCell ref="V177:V180"/>
    <mergeCell ref="W177:W180"/>
    <mergeCell ref="X177:X180"/>
    <mergeCell ref="Y177:Y180"/>
    <mergeCell ref="G176:G181"/>
    <mergeCell ref="H182:H187"/>
    <mergeCell ref="I182:I187"/>
    <mergeCell ref="J182:J187"/>
    <mergeCell ref="K182:K187"/>
    <mergeCell ref="L182:L187"/>
    <mergeCell ref="M182:M187"/>
    <mergeCell ref="AF182:AF187"/>
    <mergeCell ref="AG182:AG187"/>
    <mergeCell ref="AH182:AH187"/>
    <mergeCell ref="AI182:AI187"/>
    <mergeCell ref="AJ182:AJ187"/>
    <mergeCell ref="AK182:AK187"/>
    <mergeCell ref="N183:N186"/>
    <mergeCell ref="O183:O186"/>
    <mergeCell ref="P183:P186"/>
    <mergeCell ref="Q183:Q186"/>
    <mergeCell ref="R183:R186"/>
    <mergeCell ref="S183:S186"/>
    <mergeCell ref="T183:T186"/>
    <mergeCell ref="U183:U186"/>
    <mergeCell ref="V183:V186"/>
    <mergeCell ref="W183:W186"/>
    <mergeCell ref="X183:X186"/>
    <mergeCell ref="Y183:Y186"/>
    <mergeCell ref="G182:G187"/>
    <mergeCell ref="H188:H193"/>
    <mergeCell ref="I188:I193"/>
    <mergeCell ref="J188:J193"/>
    <mergeCell ref="K188:K193"/>
    <mergeCell ref="L188:L193"/>
    <mergeCell ref="M188:M193"/>
    <mergeCell ref="AF188:AF193"/>
    <mergeCell ref="AG188:AG193"/>
    <mergeCell ref="AH188:AH193"/>
    <mergeCell ref="AI188:AI193"/>
    <mergeCell ref="AJ188:AJ193"/>
    <mergeCell ref="AK188:AK193"/>
    <mergeCell ref="N189:N192"/>
    <mergeCell ref="O189:O192"/>
    <mergeCell ref="P189:P192"/>
    <mergeCell ref="Q189:Q192"/>
    <mergeCell ref="R189:R192"/>
    <mergeCell ref="S189:S192"/>
    <mergeCell ref="T189:T192"/>
    <mergeCell ref="U189:U192"/>
    <mergeCell ref="V189:V192"/>
    <mergeCell ref="W189:W192"/>
    <mergeCell ref="X189:X192"/>
    <mergeCell ref="Y189:Y192"/>
    <mergeCell ref="G188:G193"/>
    <mergeCell ref="H194:H199"/>
    <mergeCell ref="I194:I199"/>
    <mergeCell ref="J194:J199"/>
    <mergeCell ref="K194:K199"/>
    <mergeCell ref="L194:L199"/>
    <mergeCell ref="M194:M199"/>
    <mergeCell ref="AF194:AF199"/>
    <mergeCell ref="AG194:AG199"/>
    <mergeCell ref="AH194:AH199"/>
    <mergeCell ref="AI194:AI199"/>
    <mergeCell ref="AJ194:AJ199"/>
    <mergeCell ref="AK194:AK199"/>
    <mergeCell ref="N195:N198"/>
    <mergeCell ref="O195:O198"/>
    <mergeCell ref="P195:P198"/>
    <mergeCell ref="Q195:Q198"/>
    <mergeCell ref="R195:R198"/>
    <mergeCell ref="S195:S198"/>
    <mergeCell ref="T195:T198"/>
    <mergeCell ref="U195:U198"/>
    <mergeCell ref="V195:V198"/>
    <mergeCell ref="W195:W198"/>
    <mergeCell ref="X195:X198"/>
    <mergeCell ref="Y195:Y198"/>
    <mergeCell ref="G194:G199"/>
    <mergeCell ref="H200:H205"/>
    <mergeCell ref="I200:I205"/>
    <mergeCell ref="J200:J205"/>
    <mergeCell ref="K200:K205"/>
    <mergeCell ref="L200:L205"/>
    <mergeCell ref="M200:M205"/>
    <mergeCell ref="AF200:AF205"/>
    <mergeCell ref="AG200:AG205"/>
    <mergeCell ref="AH200:AH205"/>
    <mergeCell ref="AI200:AI205"/>
    <mergeCell ref="AJ200:AJ205"/>
    <mergeCell ref="AK200:AK205"/>
    <mergeCell ref="N201:N204"/>
    <mergeCell ref="O201:O204"/>
    <mergeCell ref="P201:P204"/>
    <mergeCell ref="Q201:Q204"/>
    <mergeCell ref="R201:R204"/>
    <mergeCell ref="S201:S204"/>
    <mergeCell ref="T201:T204"/>
    <mergeCell ref="U201:U204"/>
    <mergeCell ref="V201:V204"/>
    <mergeCell ref="W201:W204"/>
    <mergeCell ref="X201:X204"/>
    <mergeCell ref="Y201:Y204"/>
    <mergeCell ref="G200:G205"/>
    <mergeCell ref="H206:H211"/>
    <mergeCell ref="I206:I211"/>
    <mergeCell ref="J206:J211"/>
    <mergeCell ref="K206:K211"/>
    <mergeCell ref="L206:L211"/>
    <mergeCell ref="M206:M211"/>
    <mergeCell ref="AF206:AF211"/>
    <mergeCell ref="AG206:AG211"/>
    <mergeCell ref="AH206:AH211"/>
    <mergeCell ref="AI206:AI211"/>
    <mergeCell ref="AJ206:AJ211"/>
    <mergeCell ref="AK206:AK211"/>
    <mergeCell ref="N207:N210"/>
    <mergeCell ref="O207:O210"/>
    <mergeCell ref="P207:P210"/>
    <mergeCell ref="Q207:Q210"/>
    <mergeCell ref="R207:R210"/>
    <mergeCell ref="S207:S210"/>
    <mergeCell ref="T207:T210"/>
    <mergeCell ref="U207:U210"/>
    <mergeCell ref="V207:V210"/>
    <mergeCell ref="W207:W210"/>
    <mergeCell ref="X207:X210"/>
    <mergeCell ref="Y207:Y210"/>
    <mergeCell ref="G206:G211"/>
    <mergeCell ref="H212:H217"/>
    <mergeCell ref="I212:I217"/>
    <mergeCell ref="J212:J217"/>
    <mergeCell ref="K212:K217"/>
    <mergeCell ref="L212:L217"/>
    <mergeCell ref="M212:M217"/>
    <mergeCell ref="AF212:AF217"/>
    <mergeCell ref="AG212:AG217"/>
    <mergeCell ref="AH212:AH217"/>
    <mergeCell ref="AI212:AI217"/>
    <mergeCell ref="AJ212:AJ217"/>
    <mergeCell ref="AK212:AK217"/>
    <mergeCell ref="N213:N216"/>
    <mergeCell ref="O213:O216"/>
    <mergeCell ref="P213:P216"/>
    <mergeCell ref="Q213:Q216"/>
    <mergeCell ref="R213:R216"/>
    <mergeCell ref="S213:S216"/>
    <mergeCell ref="T213:T216"/>
    <mergeCell ref="U213:U216"/>
    <mergeCell ref="V213:V216"/>
    <mergeCell ref="W213:W216"/>
    <mergeCell ref="X213:X216"/>
    <mergeCell ref="Y213:Y216"/>
    <mergeCell ref="G212:G217"/>
    <mergeCell ref="H218:H223"/>
    <mergeCell ref="I218:I223"/>
    <mergeCell ref="J218:J223"/>
    <mergeCell ref="K218:K223"/>
    <mergeCell ref="L218:L223"/>
    <mergeCell ref="M218:M223"/>
    <mergeCell ref="AF218:AF223"/>
    <mergeCell ref="AG218:AG223"/>
    <mergeCell ref="AH218:AH223"/>
    <mergeCell ref="AI218:AI223"/>
    <mergeCell ref="AJ218:AJ223"/>
    <mergeCell ref="AK218:AK223"/>
    <mergeCell ref="N219:N222"/>
    <mergeCell ref="O219:O222"/>
    <mergeCell ref="P219:P222"/>
    <mergeCell ref="Q219:Q222"/>
    <mergeCell ref="R219:R222"/>
    <mergeCell ref="S219:S222"/>
    <mergeCell ref="T219:T222"/>
    <mergeCell ref="U219:U222"/>
    <mergeCell ref="V219:V222"/>
    <mergeCell ref="W219:W222"/>
    <mergeCell ref="X219:X222"/>
    <mergeCell ref="Y219:Y222"/>
    <mergeCell ref="G218:G223"/>
    <mergeCell ref="H224:H229"/>
    <mergeCell ref="I224:I229"/>
    <mergeCell ref="J224:J229"/>
    <mergeCell ref="K224:K229"/>
    <mergeCell ref="L224:L229"/>
    <mergeCell ref="M224:M229"/>
    <mergeCell ref="AF224:AF229"/>
    <mergeCell ref="AG224:AG229"/>
    <mergeCell ref="AH224:AH229"/>
    <mergeCell ref="AI224:AI229"/>
    <mergeCell ref="AJ224:AJ229"/>
    <mergeCell ref="AK224:AK229"/>
    <mergeCell ref="N225:N228"/>
    <mergeCell ref="O225:O228"/>
    <mergeCell ref="P225:P228"/>
    <mergeCell ref="Q225:Q228"/>
    <mergeCell ref="R225:R228"/>
    <mergeCell ref="S225:S228"/>
    <mergeCell ref="T225:T228"/>
    <mergeCell ref="U225:U228"/>
    <mergeCell ref="V225:V228"/>
    <mergeCell ref="W225:W228"/>
    <mergeCell ref="X225:X228"/>
    <mergeCell ref="Y225:Y228"/>
    <mergeCell ref="G224:G229"/>
    <mergeCell ref="H230:H235"/>
    <mergeCell ref="I230:I235"/>
    <mergeCell ref="J230:J235"/>
    <mergeCell ref="K230:K235"/>
    <mergeCell ref="L230:L235"/>
    <mergeCell ref="M230:M235"/>
    <mergeCell ref="AF230:AF235"/>
    <mergeCell ref="AG230:AG235"/>
    <mergeCell ref="AH230:AH235"/>
    <mergeCell ref="AI230:AI235"/>
    <mergeCell ref="AJ230:AJ235"/>
    <mergeCell ref="AK230:AK235"/>
    <mergeCell ref="N231:N234"/>
    <mergeCell ref="O231:O234"/>
    <mergeCell ref="P231:P234"/>
    <mergeCell ref="Q231:Q234"/>
    <mergeCell ref="R231:R234"/>
    <mergeCell ref="S231:S234"/>
    <mergeCell ref="T231:T234"/>
    <mergeCell ref="U231:U234"/>
    <mergeCell ref="V231:V234"/>
    <mergeCell ref="W231:W234"/>
    <mergeCell ref="X231:X234"/>
    <mergeCell ref="Y231:Y234"/>
    <mergeCell ref="G230:G235"/>
    <mergeCell ref="H236:H241"/>
    <mergeCell ref="I236:I241"/>
    <mergeCell ref="J236:J241"/>
    <mergeCell ref="K236:K241"/>
    <mergeCell ref="L236:L241"/>
    <mergeCell ref="M236:M241"/>
    <mergeCell ref="AF236:AF241"/>
    <mergeCell ref="AG236:AG241"/>
    <mergeCell ref="AH236:AH241"/>
    <mergeCell ref="AI236:AI241"/>
    <mergeCell ref="AJ236:AJ241"/>
    <mergeCell ref="AK236:AK241"/>
    <mergeCell ref="N237:N240"/>
    <mergeCell ref="O237:O240"/>
    <mergeCell ref="P237:P240"/>
    <mergeCell ref="Q237:Q240"/>
    <mergeCell ref="R237:R240"/>
    <mergeCell ref="S237:S240"/>
    <mergeCell ref="T237:T240"/>
    <mergeCell ref="U237:U240"/>
    <mergeCell ref="V237:V240"/>
    <mergeCell ref="W237:W240"/>
    <mergeCell ref="X237:X240"/>
    <mergeCell ref="Y237:Y240"/>
    <mergeCell ref="G236:G241"/>
    <mergeCell ref="H242:H247"/>
    <mergeCell ref="I242:I247"/>
    <mergeCell ref="J242:J247"/>
    <mergeCell ref="K242:K247"/>
    <mergeCell ref="L242:L247"/>
    <mergeCell ref="M242:M247"/>
    <mergeCell ref="AF242:AF247"/>
    <mergeCell ref="AG242:AG247"/>
    <mergeCell ref="AH242:AH247"/>
    <mergeCell ref="AI242:AI247"/>
    <mergeCell ref="AJ242:AJ247"/>
    <mergeCell ref="AK242:AK247"/>
    <mergeCell ref="N243:N246"/>
    <mergeCell ref="O243:O246"/>
    <mergeCell ref="P243:P246"/>
    <mergeCell ref="Q243:Q246"/>
    <mergeCell ref="R243:R246"/>
    <mergeCell ref="S243:S246"/>
    <mergeCell ref="T243:T246"/>
    <mergeCell ref="U243:U246"/>
    <mergeCell ref="V243:V246"/>
    <mergeCell ref="W243:W246"/>
    <mergeCell ref="X243:X246"/>
    <mergeCell ref="Y243:Y246"/>
    <mergeCell ref="G242:G247"/>
    <mergeCell ref="H248:H253"/>
    <mergeCell ref="I248:I253"/>
    <mergeCell ref="J248:J253"/>
    <mergeCell ref="K248:K253"/>
    <mergeCell ref="L248:L253"/>
    <mergeCell ref="M248:M253"/>
    <mergeCell ref="AF248:AF253"/>
    <mergeCell ref="AG248:AG253"/>
    <mergeCell ref="AH248:AH253"/>
    <mergeCell ref="AI248:AI253"/>
    <mergeCell ref="AJ248:AJ253"/>
    <mergeCell ref="AK248:AK253"/>
    <mergeCell ref="N249:N252"/>
    <mergeCell ref="O249:O252"/>
    <mergeCell ref="P249:P252"/>
    <mergeCell ref="Q249:Q252"/>
    <mergeCell ref="R249:R252"/>
    <mergeCell ref="S249:S252"/>
    <mergeCell ref="T249:T252"/>
    <mergeCell ref="U249:U252"/>
    <mergeCell ref="V249:V252"/>
    <mergeCell ref="W249:W252"/>
    <mergeCell ref="X249:X252"/>
    <mergeCell ref="Y249:Y252"/>
    <mergeCell ref="G248:G253"/>
    <mergeCell ref="H254:H259"/>
    <mergeCell ref="I254:I259"/>
    <mergeCell ref="J254:J259"/>
    <mergeCell ref="K254:K259"/>
    <mergeCell ref="L254:L259"/>
    <mergeCell ref="M254:M259"/>
    <mergeCell ref="AF254:AF259"/>
    <mergeCell ref="AG254:AG259"/>
    <mergeCell ref="AH254:AH259"/>
    <mergeCell ref="AI254:AI259"/>
    <mergeCell ref="AJ254:AJ259"/>
    <mergeCell ref="AK254:AK259"/>
    <mergeCell ref="N255:N258"/>
    <mergeCell ref="O255:O258"/>
    <mergeCell ref="P255:P258"/>
    <mergeCell ref="Q255:Q258"/>
    <mergeCell ref="R255:R258"/>
    <mergeCell ref="S255:S258"/>
    <mergeCell ref="T255:T258"/>
    <mergeCell ref="U255:U258"/>
    <mergeCell ref="V255:V258"/>
    <mergeCell ref="W255:W258"/>
    <mergeCell ref="X255:X258"/>
    <mergeCell ref="Y255:Y258"/>
    <mergeCell ref="G254:G259"/>
    <mergeCell ref="H260:H265"/>
    <mergeCell ref="I260:I265"/>
    <mergeCell ref="J260:J265"/>
    <mergeCell ref="K260:K265"/>
    <mergeCell ref="L260:L265"/>
    <mergeCell ref="M260:M265"/>
    <mergeCell ref="AF260:AF265"/>
    <mergeCell ref="AG260:AG265"/>
    <mergeCell ref="AH260:AH265"/>
    <mergeCell ref="AI260:AI265"/>
    <mergeCell ref="AJ260:AJ265"/>
    <mergeCell ref="AK260:AK265"/>
    <mergeCell ref="N261:N264"/>
    <mergeCell ref="O261:O264"/>
    <mergeCell ref="P261:P264"/>
    <mergeCell ref="Q261:Q264"/>
    <mergeCell ref="R261:R264"/>
    <mergeCell ref="S261:S264"/>
    <mergeCell ref="T261:T264"/>
    <mergeCell ref="U261:U264"/>
    <mergeCell ref="V261:V264"/>
    <mergeCell ref="W261:W264"/>
    <mergeCell ref="X261:X264"/>
    <mergeCell ref="Y261:Y264"/>
    <mergeCell ref="G260:G265"/>
    <mergeCell ref="H266:H271"/>
    <mergeCell ref="I266:I271"/>
    <mergeCell ref="J266:J271"/>
    <mergeCell ref="K266:K271"/>
    <mergeCell ref="L266:L271"/>
    <mergeCell ref="M266:M271"/>
    <mergeCell ref="AF266:AF271"/>
    <mergeCell ref="AG266:AG271"/>
    <mergeCell ref="AH266:AH271"/>
    <mergeCell ref="AI266:AI271"/>
    <mergeCell ref="AJ266:AJ271"/>
    <mergeCell ref="AK266:AK271"/>
    <mergeCell ref="N267:N270"/>
    <mergeCell ref="O267:O270"/>
    <mergeCell ref="P267:P270"/>
    <mergeCell ref="Q267:Q270"/>
    <mergeCell ref="R267:R270"/>
    <mergeCell ref="S267:S270"/>
    <mergeCell ref="T267:T270"/>
    <mergeCell ref="U267:U270"/>
    <mergeCell ref="V267:V270"/>
    <mergeCell ref="W267:W270"/>
    <mergeCell ref="X267:X270"/>
    <mergeCell ref="Y267:Y270"/>
    <mergeCell ref="G266:G271"/>
    <mergeCell ref="H272:H277"/>
    <mergeCell ref="I272:I277"/>
    <mergeCell ref="J272:J277"/>
    <mergeCell ref="K272:K277"/>
    <mergeCell ref="L272:L277"/>
    <mergeCell ref="M272:M277"/>
    <mergeCell ref="AF272:AF277"/>
    <mergeCell ref="AG272:AG277"/>
    <mergeCell ref="AH272:AH277"/>
    <mergeCell ref="AI272:AI277"/>
    <mergeCell ref="AJ272:AJ277"/>
    <mergeCell ref="AK272:AK277"/>
    <mergeCell ref="N273:N276"/>
    <mergeCell ref="O273:O276"/>
    <mergeCell ref="P273:P276"/>
    <mergeCell ref="Q273:Q276"/>
    <mergeCell ref="R273:R276"/>
    <mergeCell ref="S273:S276"/>
    <mergeCell ref="T273:T276"/>
    <mergeCell ref="U273:U276"/>
    <mergeCell ref="V273:V276"/>
    <mergeCell ref="W273:W276"/>
    <mergeCell ref="X273:X276"/>
    <mergeCell ref="Y273:Y276"/>
    <mergeCell ref="G272:G277"/>
    <mergeCell ref="H278:H283"/>
    <mergeCell ref="I278:I283"/>
    <mergeCell ref="J278:J283"/>
    <mergeCell ref="K278:K283"/>
    <mergeCell ref="L278:L283"/>
    <mergeCell ref="M278:M283"/>
    <mergeCell ref="AF278:AF283"/>
    <mergeCell ref="AG278:AG283"/>
    <mergeCell ref="AH278:AH283"/>
    <mergeCell ref="AI278:AI283"/>
    <mergeCell ref="AJ278:AJ283"/>
    <mergeCell ref="AK278:AK283"/>
    <mergeCell ref="N279:N282"/>
    <mergeCell ref="O279:O282"/>
    <mergeCell ref="P279:P282"/>
    <mergeCell ref="Q279:Q282"/>
    <mergeCell ref="R279:R282"/>
    <mergeCell ref="S279:S282"/>
    <mergeCell ref="T279:T282"/>
    <mergeCell ref="U279:U282"/>
    <mergeCell ref="V279:V282"/>
    <mergeCell ref="W279:W282"/>
    <mergeCell ref="X279:X282"/>
    <mergeCell ref="Y279:Y282"/>
    <mergeCell ref="G278:G283"/>
    <mergeCell ref="H284:H289"/>
    <mergeCell ref="I284:I289"/>
    <mergeCell ref="J284:J289"/>
    <mergeCell ref="K284:K289"/>
    <mergeCell ref="L284:L289"/>
    <mergeCell ref="M284:M289"/>
    <mergeCell ref="AF284:AF289"/>
    <mergeCell ref="AG284:AG289"/>
    <mergeCell ref="AH284:AH289"/>
    <mergeCell ref="AI284:AI289"/>
    <mergeCell ref="AJ284:AJ289"/>
    <mergeCell ref="AK284:AK289"/>
    <mergeCell ref="N285:N288"/>
    <mergeCell ref="O285:O288"/>
    <mergeCell ref="P285:P288"/>
    <mergeCell ref="Q285:Q288"/>
    <mergeCell ref="R285:R288"/>
    <mergeCell ref="S285:S288"/>
    <mergeCell ref="T285:T288"/>
    <mergeCell ref="U285:U288"/>
    <mergeCell ref="V285:V288"/>
    <mergeCell ref="W285:W288"/>
    <mergeCell ref="X285:X288"/>
    <mergeCell ref="Y285:Y288"/>
    <mergeCell ref="G284:G289"/>
    <mergeCell ref="H290:H295"/>
    <mergeCell ref="I290:I295"/>
    <mergeCell ref="J290:J295"/>
    <mergeCell ref="K290:K295"/>
    <mergeCell ref="L290:L295"/>
    <mergeCell ref="M290:M295"/>
    <mergeCell ref="AF290:AF295"/>
    <mergeCell ref="AG290:AG295"/>
    <mergeCell ref="AH290:AH295"/>
    <mergeCell ref="AI290:AI295"/>
    <mergeCell ref="AJ290:AJ295"/>
    <mergeCell ref="AK290:AK295"/>
    <mergeCell ref="N291:N294"/>
    <mergeCell ref="O291:O294"/>
    <mergeCell ref="P291:P294"/>
    <mergeCell ref="Q291:Q294"/>
    <mergeCell ref="R291:R294"/>
    <mergeCell ref="S291:S294"/>
    <mergeCell ref="T291:T294"/>
    <mergeCell ref="U291:U294"/>
    <mergeCell ref="V291:V294"/>
    <mergeCell ref="W291:W294"/>
    <mergeCell ref="X291:X294"/>
    <mergeCell ref="Y291:Y294"/>
    <mergeCell ref="G290:G295"/>
    <mergeCell ref="H296:H301"/>
    <mergeCell ref="I296:I301"/>
    <mergeCell ref="J296:J301"/>
    <mergeCell ref="K296:K301"/>
    <mergeCell ref="L296:L301"/>
    <mergeCell ref="M296:M301"/>
    <mergeCell ref="AF296:AF301"/>
    <mergeCell ref="AG296:AG301"/>
    <mergeCell ref="AH296:AH301"/>
    <mergeCell ref="AI296:AI301"/>
    <mergeCell ref="AJ296:AJ301"/>
    <mergeCell ref="AK296:AK301"/>
    <mergeCell ref="N297:N300"/>
    <mergeCell ref="O297:O300"/>
    <mergeCell ref="P297:P300"/>
    <mergeCell ref="Q297:Q300"/>
    <mergeCell ref="R297:R300"/>
    <mergeCell ref="S297:S300"/>
    <mergeCell ref="T297:T300"/>
    <mergeCell ref="U297:U300"/>
    <mergeCell ref="V297:V300"/>
    <mergeCell ref="W297:W300"/>
    <mergeCell ref="X297:X300"/>
    <mergeCell ref="Y297:Y300"/>
    <mergeCell ref="G296:G301"/>
    <mergeCell ref="H302:H307"/>
    <mergeCell ref="I302:I307"/>
    <mergeCell ref="J302:J307"/>
    <mergeCell ref="K302:K307"/>
    <mergeCell ref="L302:L307"/>
    <mergeCell ref="M302:M307"/>
    <mergeCell ref="AF302:AF307"/>
    <mergeCell ref="AG302:AG307"/>
    <mergeCell ref="AH302:AH307"/>
    <mergeCell ref="AI302:AI307"/>
    <mergeCell ref="AJ302:AJ307"/>
    <mergeCell ref="AK302:AK307"/>
    <mergeCell ref="N303:N306"/>
    <mergeCell ref="O303:O306"/>
    <mergeCell ref="P303:P306"/>
    <mergeCell ref="Q303:Q306"/>
    <mergeCell ref="R303:R306"/>
    <mergeCell ref="S303:S306"/>
    <mergeCell ref="T303:T306"/>
    <mergeCell ref="U303:U306"/>
    <mergeCell ref="V303:V306"/>
    <mergeCell ref="W303:W306"/>
    <mergeCell ref="X303:X306"/>
    <mergeCell ref="Y303:Y306"/>
    <mergeCell ref="G302:G307"/>
    <mergeCell ref="H308:H313"/>
    <mergeCell ref="I308:I313"/>
    <mergeCell ref="J308:J313"/>
    <mergeCell ref="K308:K313"/>
    <mergeCell ref="L308:L313"/>
    <mergeCell ref="M308:M313"/>
    <mergeCell ref="AF308:AF313"/>
    <mergeCell ref="AG308:AG313"/>
    <mergeCell ref="AH308:AH313"/>
    <mergeCell ref="AI308:AI313"/>
    <mergeCell ref="AJ308:AJ313"/>
    <mergeCell ref="AK308:AK313"/>
    <mergeCell ref="N309:N312"/>
    <mergeCell ref="O309:O312"/>
    <mergeCell ref="P309:P312"/>
    <mergeCell ref="Q309:Q312"/>
    <mergeCell ref="R309:R312"/>
    <mergeCell ref="S309:S312"/>
    <mergeCell ref="T309:T312"/>
    <mergeCell ref="U309:U312"/>
    <mergeCell ref="V309:V312"/>
    <mergeCell ref="W309:W312"/>
    <mergeCell ref="X309:X312"/>
    <mergeCell ref="Y309:Y312"/>
    <mergeCell ref="G308:G313"/>
    <mergeCell ref="H314:H319"/>
    <mergeCell ref="I314:I319"/>
    <mergeCell ref="J314:J319"/>
    <mergeCell ref="K314:K319"/>
    <mergeCell ref="L314:L319"/>
    <mergeCell ref="M314:M319"/>
    <mergeCell ref="AF314:AF319"/>
    <mergeCell ref="AG314:AG319"/>
    <mergeCell ref="AH314:AH319"/>
    <mergeCell ref="AI314:AI319"/>
    <mergeCell ref="AJ314:AJ319"/>
    <mergeCell ref="AK314:AK319"/>
    <mergeCell ref="N315:N318"/>
    <mergeCell ref="O315:O318"/>
    <mergeCell ref="P315:P318"/>
    <mergeCell ref="Q315:Q318"/>
    <mergeCell ref="R315:R318"/>
    <mergeCell ref="S315:S318"/>
    <mergeCell ref="T315:T318"/>
    <mergeCell ref="U315:U318"/>
    <mergeCell ref="V315:V318"/>
    <mergeCell ref="W315:W318"/>
    <mergeCell ref="X315:X318"/>
    <mergeCell ref="Y315:Y318"/>
    <mergeCell ref="G314:G319"/>
    <mergeCell ref="H320:H325"/>
    <mergeCell ref="I320:I325"/>
    <mergeCell ref="J320:J325"/>
    <mergeCell ref="K320:K325"/>
    <mergeCell ref="L320:L325"/>
    <mergeCell ref="M320:M325"/>
    <mergeCell ref="AF320:AF325"/>
    <mergeCell ref="AG320:AG325"/>
    <mergeCell ref="AH320:AH325"/>
    <mergeCell ref="AI320:AI325"/>
    <mergeCell ref="AJ320:AJ325"/>
    <mergeCell ref="AK320:AK325"/>
    <mergeCell ref="N321:N324"/>
    <mergeCell ref="O321:O324"/>
    <mergeCell ref="P321:P324"/>
    <mergeCell ref="Q321:Q324"/>
    <mergeCell ref="R321:R324"/>
    <mergeCell ref="S321:S324"/>
    <mergeCell ref="T321:T324"/>
    <mergeCell ref="U321:U324"/>
    <mergeCell ref="V321:V324"/>
    <mergeCell ref="W321:W324"/>
    <mergeCell ref="X321:X324"/>
    <mergeCell ref="Y321:Y324"/>
    <mergeCell ref="G320:G325"/>
    <mergeCell ref="H326:H331"/>
    <mergeCell ref="I326:I331"/>
    <mergeCell ref="J326:J331"/>
    <mergeCell ref="K326:K331"/>
    <mergeCell ref="L326:L331"/>
    <mergeCell ref="M326:M331"/>
    <mergeCell ref="AF326:AF331"/>
    <mergeCell ref="AG326:AG331"/>
    <mergeCell ref="AH326:AH331"/>
    <mergeCell ref="AI326:AI331"/>
    <mergeCell ref="AJ326:AJ331"/>
    <mergeCell ref="AK326:AK331"/>
    <mergeCell ref="N327:N330"/>
    <mergeCell ref="O327:O330"/>
    <mergeCell ref="P327:P330"/>
    <mergeCell ref="Q327:Q330"/>
    <mergeCell ref="R327:R330"/>
    <mergeCell ref="S327:S330"/>
    <mergeCell ref="T327:T330"/>
    <mergeCell ref="U327:U330"/>
    <mergeCell ref="V327:V330"/>
    <mergeCell ref="W327:W330"/>
    <mergeCell ref="X327:X330"/>
    <mergeCell ref="Y327:Y330"/>
    <mergeCell ref="G326:G331"/>
    <mergeCell ref="H332:H337"/>
    <mergeCell ref="I332:I337"/>
    <mergeCell ref="J332:J337"/>
    <mergeCell ref="K332:K337"/>
    <mergeCell ref="L332:L337"/>
    <mergeCell ref="M332:M337"/>
    <mergeCell ref="AF332:AF337"/>
    <mergeCell ref="AG332:AG337"/>
    <mergeCell ref="AH332:AH337"/>
    <mergeCell ref="AI332:AI337"/>
    <mergeCell ref="AJ332:AJ337"/>
    <mergeCell ref="AK332:AK337"/>
    <mergeCell ref="N333:N336"/>
    <mergeCell ref="O333:O336"/>
    <mergeCell ref="P333:P336"/>
    <mergeCell ref="Q333:Q336"/>
    <mergeCell ref="R333:R336"/>
    <mergeCell ref="S333:S336"/>
    <mergeCell ref="T333:T336"/>
    <mergeCell ref="U333:U336"/>
    <mergeCell ref="V333:V336"/>
    <mergeCell ref="W333:W336"/>
    <mergeCell ref="X333:X336"/>
    <mergeCell ref="Y333:Y336"/>
    <mergeCell ref="G332:G337"/>
    <mergeCell ref="H338:H343"/>
    <mergeCell ref="I338:I343"/>
    <mergeCell ref="J338:J343"/>
    <mergeCell ref="K338:K343"/>
    <mergeCell ref="L338:L343"/>
    <mergeCell ref="M338:M343"/>
    <mergeCell ref="AF338:AF343"/>
    <mergeCell ref="AG338:AG343"/>
    <mergeCell ref="AH338:AH343"/>
    <mergeCell ref="AI338:AI343"/>
    <mergeCell ref="AJ338:AJ343"/>
    <mergeCell ref="AK338:AK343"/>
    <mergeCell ref="N339:N342"/>
    <mergeCell ref="O339:O342"/>
    <mergeCell ref="P339:P342"/>
    <mergeCell ref="Q339:Q342"/>
    <mergeCell ref="R339:R342"/>
    <mergeCell ref="S339:S342"/>
    <mergeCell ref="T339:T342"/>
    <mergeCell ref="U339:U342"/>
    <mergeCell ref="V339:V342"/>
    <mergeCell ref="W339:W342"/>
    <mergeCell ref="X339:X342"/>
    <mergeCell ref="Y339:Y342"/>
    <mergeCell ref="G338:G343"/>
    <mergeCell ref="H344:H349"/>
    <mergeCell ref="I344:I349"/>
    <mergeCell ref="J344:J349"/>
    <mergeCell ref="K344:K349"/>
    <mergeCell ref="L344:L349"/>
    <mergeCell ref="M344:M349"/>
    <mergeCell ref="AF344:AF349"/>
    <mergeCell ref="AG344:AG349"/>
    <mergeCell ref="AH344:AH349"/>
    <mergeCell ref="AI344:AI349"/>
    <mergeCell ref="AJ344:AJ349"/>
    <mergeCell ref="AK344:AK349"/>
    <mergeCell ref="N345:N348"/>
    <mergeCell ref="O345:O348"/>
    <mergeCell ref="P345:P348"/>
    <mergeCell ref="Q345:Q348"/>
    <mergeCell ref="R345:R348"/>
    <mergeCell ref="S345:S348"/>
    <mergeCell ref="T345:T348"/>
    <mergeCell ref="U345:U348"/>
    <mergeCell ref="V345:V348"/>
    <mergeCell ref="W345:W348"/>
    <mergeCell ref="X345:X348"/>
    <mergeCell ref="Y345:Y348"/>
    <mergeCell ref="G344:G349"/>
    <mergeCell ref="H350:H355"/>
    <mergeCell ref="I350:I355"/>
    <mergeCell ref="J350:J355"/>
    <mergeCell ref="K350:K355"/>
    <mergeCell ref="L350:L355"/>
    <mergeCell ref="M350:M355"/>
    <mergeCell ref="AF350:AF355"/>
    <mergeCell ref="AG350:AG355"/>
    <mergeCell ref="AH350:AH355"/>
    <mergeCell ref="AI350:AI355"/>
    <mergeCell ref="AJ350:AJ355"/>
    <mergeCell ref="AK350:AK355"/>
    <mergeCell ref="N351:N354"/>
    <mergeCell ref="O351:O354"/>
    <mergeCell ref="P351:P354"/>
    <mergeCell ref="Q351:Q354"/>
    <mergeCell ref="R351:R354"/>
    <mergeCell ref="S351:S354"/>
    <mergeCell ref="T351:T354"/>
    <mergeCell ref="U351:U354"/>
    <mergeCell ref="V351:V354"/>
    <mergeCell ref="W351:W354"/>
    <mergeCell ref="X351:X354"/>
    <mergeCell ref="Y351:Y354"/>
    <mergeCell ref="G350:G355"/>
    <mergeCell ref="H356:H360"/>
    <mergeCell ref="I356:I360"/>
    <mergeCell ref="J356:J360"/>
    <mergeCell ref="K356:K360"/>
    <mergeCell ref="L356:L360"/>
    <mergeCell ref="M356:M360"/>
    <mergeCell ref="AF356:AF360"/>
    <mergeCell ref="AG356:AG360"/>
    <mergeCell ref="AH356:AH360"/>
    <mergeCell ref="AI356:AI360"/>
    <mergeCell ref="AJ356:AJ360"/>
    <mergeCell ref="AK356:AK360"/>
    <mergeCell ref="N357:N359"/>
    <mergeCell ref="O357:O359"/>
    <mergeCell ref="P357:P359"/>
    <mergeCell ref="Q357:Q359"/>
    <mergeCell ref="R357:R359"/>
    <mergeCell ref="S357:S359"/>
    <mergeCell ref="T357:T359"/>
    <mergeCell ref="U357:U359"/>
    <mergeCell ref="V357:V359"/>
    <mergeCell ref="W357:W359"/>
    <mergeCell ref="X357:X359"/>
    <mergeCell ref="Y357:Y359"/>
    <mergeCell ref="G356:G360"/>
  </mergeCells>
  <dataValidations count="195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2">
      <formula1>"a"</formula1>
    </dataValidation>
    <dataValidation type="textLength" operator="lessThanOrEqual" allowBlank="1" showInputMessage="1" showErrorMessage="1" errorTitle="Ошибка" error="Допускается ввод не более 900 символов!" sqref="K362">
      <formula1>900</formula1>
    </dataValidation>
    <dataValidation type="textLength" operator="lessThanOrEqual" allowBlank="1" showInputMessage="1" showErrorMessage="1" errorTitle="Ошибка" error="Допускается ввод не более 900 символов!" sqref="M362">
      <formula1>900</formula1>
    </dataValidation>
    <dataValidation type="whole" allowBlank="1" showErrorMessage="1" errorTitle="Ошибка" error="Допускается ввод только неотрицательных целых чисел!" sqref="AF362">
      <formula1>0</formula1>
      <formula2>9.99999999999999E+23</formula2>
    </dataValidation>
    <dataValidation type="whole" allowBlank="1" showErrorMessage="1" errorTitle="Ошибка" error="Допускается ввод только неотрицательных целых чисел!" sqref="AI3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3">
      <formula1>"a"</formula1>
    </dataValidation>
    <dataValidation type="textLength" operator="lessThanOrEqual" allowBlank="1" showInputMessage="1" showErrorMessage="1" errorTitle="Ошибка" error="Допускается ввод не более 900 символов!" sqref="K363">
      <formula1>900</formula1>
    </dataValidation>
    <dataValidation type="whole" allowBlank="1" showErrorMessage="1" errorTitle="Ошибка" error="Допускается ввод только неотрицательных целых чисел!" sqref="AF363">
      <formula1>0</formula1>
      <formula2>9.99999999999999E+23</formula2>
    </dataValidation>
    <dataValidation type="whole" allowBlank="1" showErrorMessage="1" errorTitle="Ошибка" error="Допускается ввод только неотрицательных целых чисел!" sqref="AI3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4">
      <formula1>"a"</formula1>
    </dataValidation>
    <dataValidation type="textLength" operator="lessThanOrEqual" allowBlank="1" showInputMessage="1" showErrorMessage="1" errorTitle="Ошибка" error="Допускается ввод не более 900 символов!" sqref="K364">
      <formula1>900</formula1>
    </dataValidation>
    <dataValidation type="decimal" allowBlank="1" showErrorMessage="1" errorTitle="Ошибка" error="Допускается ввод только неотрицательных чисел!" sqref="AC364">
      <formula1>0</formula1>
      <formula2>9.99999999999999E+23</formula2>
    </dataValidation>
    <dataValidation type="decimal" allowBlank="1" showErrorMessage="1" errorTitle="Ошибка" error="Допускается ввод только неотрицательных чисел!" sqref="AE364">
      <formula1>0</formula1>
      <formula2>9.99999999999999E+23</formula2>
    </dataValidation>
    <dataValidation type="whole" allowBlank="1" showErrorMessage="1" errorTitle="Ошибка" error="Допускается ввод только неотрицательных целых чисел!" sqref="AF364">
      <formula1>0</formula1>
      <formula2>9.99999999999999E+23</formula2>
    </dataValidation>
    <dataValidation type="whole" allowBlank="1" showErrorMessage="1" errorTitle="Ошибка" error="Допускается ввод только неотрицательных целых чисел!" sqref="AI3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5">
      <formula1>"a"</formula1>
    </dataValidation>
    <dataValidation type="textLength" operator="lessThanOrEqual" allowBlank="1" showInputMessage="1" showErrorMessage="1" errorTitle="Ошибка" error="Допускается ввод не более 900 символов!" sqref="K365">
      <formula1>900</formula1>
    </dataValidation>
    <dataValidation type="whole" allowBlank="1" showErrorMessage="1" errorTitle="Ошибка" error="Допускается ввод только неотрицательных целых чисел!" sqref="AF365">
      <formula1>0</formula1>
      <formula2>9.99999999999999E+23</formula2>
    </dataValidation>
    <dataValidation type="whole" allowBlank="1" showErrorMessage="1" errorTitle="Ошибка" error="Допускается ввод только неотрицательных целых чисел!" sqref="AI365">
      <formula1>0</formula1>
      <formula2>9.99999999999999E+23</formula2>
    </dataValidation>
    <dataValidation type="whole" allowBlank="1" showErrorMessage="1" errorTitle="Ошибка" error="Допускается ввод только неотрицательных целых чисел!" sqref="AF366">
      <formula1>0</formula1>
      <formula2>9.99999999999999E+23</formula2>
    </dataValidation>
    <dataValidation type="whole" allowBlank="1" showErrorMessage="1" errorTitle="Ошибка" error="Допускается ввод только неотрицательных целых чисел!" sqref="AI3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8">
      <formula1>"a"</formula1>
    </dataValidation>
    <dataValidation type="textLength" operator="lessThanOrEqual" allowBlank="1" showInputMessage="1" showErrorMessage="1" errorTitle="Ошибка" error="Допускается ввод не более 900 символов!" sqref="K368">
      <formula1>900</formula1>
    </dataValidation>
    <dataValidation type="textLength" operator="lessThanOrEqual" allowBlank="1" showInputMessage="1" showErrorMessage="1" errorTitle="Ошибка" error="Допускается ввод не более 900 символов!" sqref="M368">
      <formula1>900</formula1>
    </dataValidation>
    <dataValidation type="whole" allowBlank="1" showErrorMessage="1" errorTitle="Ошибка" error="Допускается ввод только неотрицательных целых чисел!" sqref="AF368">
      <formula1>0</formula1>
      <formula2>9.99999999999999E+23</formula2>
    </dataValidation>
    <dataValidation type="whole" allowBlank="1" showErrorMessage="1" errorTitle="Ошибка" error="Допускается ввод только неотрицательных целых чисел!" sqref="AI3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9">
      <formula1>"a"</formula1>
    </dataValidation>
    <dataValidation type="textLength" operator="lessThanOrEqual" allowBlank="1" showInputMessage="1" showErrorMessage="1" errorTitle="Ошибка" error="Допускается ввод не более 900 символов!" sqref="K369">
      <formula1>900</formula1>
    </dataValidation>
    <dataValidation type="whole" allowBlank="1" showErrorMessage="1" errorTitle="Ошибка" error="Допускается ввод только неотрицательных целых чисел!" sqref="AF369">
      <formula1>0</formula1>
      <formula2>9.99999999999999E+23</formula2>
    </dataValidation>
    <dataValidation type="whole" allowBlank="1" showErrorMessage="1" errorTitle="Ошибка" error="Допускается ввод только неотрицательных целых чисел!" sqref="AI3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0">
      <formula1>"a"</formula1>
    </dataValidation>
    <dataValidation type="textLength" operator="lessThanOrEqual" allowBlank="1" showInputMessage="1" showErrorMessage="1" errorTitle="Ошибка" error="Допускается ввод не более 900 символов!" sqref="K370">
      <formula1>900</formula1>
    </dataValidation>
    <dataValidation type="decimal" allowBlank="1" showErrorMessage="1" errorTitle="Ошибка" error="Допускается ввод только неотрицательных чисел!" sqref="AC370">
      <formula1>0</formula1>
      <formula2>9.99999999999999E+23</formula2>
    </dataValidation>
    <dataValidation type="decimal" allowBlank="1" showErrorMessage="1" errorTitle="Ошибка" error="Допускается ввод только неотрицательных чисел!" sqref="AE370">
      <formula1>0</formula1>
      <formula2>9.99999999999999E+23</formula2>
    </dataValidation>
    <dataValidation type="whole" allowBlank="1" showErrorMessage="1" errorTitle="Ошибка" error="Допускается ввод только неотрицательных целых чисел!" sqref="AF370">
      <formula1>0</formula1>
      <formula2>9.99999999999999E+23</formula2>
    </dataValidation>
    <dataValidation type="whole" allowBlank="1" showErrorMessage="1" errorTitle="Ошибка" error="Допускается ввод только неотрицательных целых чисел!" sqref="AI3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1">
      <formula1>"a"</formula1>
    </dataValidation>
    <dataValidation type="textLength" operator="lessThanOrEqual" allowBlank="1" showInputMessage="1" showErrorMessage="1" errorTitle="Ошибка" error="Допускается ввод не более 900 символов!" sqref="K371">
      <formula1>900</formula1>
    </dataValidation>
    <dataValidation type="whole" allowBlank="1" showErrorMessage="1" errorTitle="Ошибка" error="Допускается ввод только неотрицательных целых чисел!" sqref="AF371">
      <formula1>0</formula1>
      <formula2>9.99999999999999E+23</formula2>
    </dataValidation>
    <dataValidation type="whole" allowBlank="1" showErrorMessage="1" errorTitle="Ошибка" error="Допускается ввод только неотрицательных целых чисел!" sqref="AI371">
      <formula1>0</formula1>
      <formula2>9.99999999999999E+23</formula2>
    </dataValidation>
    <dataValidation type="whole" allowBlank="1" showErrorMessage="1" errorTitle="Ошибка" error="Допускается ввод только неотрицательных целых чисел!" sqref="AF372">
      <formula1>0</formula1>
      <formula2>9.99999999999999E+23</formula2>
    </dataValidation>
    <dataValidation type="whole" allowBlank="1" showErrorMessage="1" errorTitle="Ошибка" error="Допускается ввод только неотрицательных целых чисел!" sqref="AI3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4">
      <formula1>"a"</formula1>
    </dataValidation>
    <dataValidation type="textLength" operator="lessThanOrEqual" allowBlank="1" showInputMessage="1" showErrorMessage="1" errorTitle="Ошибка" error="Допускается ввод не более 900 символов!" sqref="K374">
      <formula1>900</formula1>
    </dataValidation>
    <dataValidation type="textLength" operator="lessThanOrEqual" allowBlank="1" showInputMessage="1" showErrorMessage="1" errorTitle="Ошибка" error="Допускается ввод не более 900 символов!" sqref="M374">
      <formula1>900</formula1>
    </dataValidation>
    <dataValidation type="whole" allowBlank="1" showErrorMessage="1" errorTitle="Ошибка" error="Допускается ввод только неотрицательных целых чисел!" sqref="AF374">
      <formula1>0</formula1>
      <formula2>9.99999999999999E+23</formula2>
    </dataValidation>
    <dataValidation type="whole" allowBlank="1" showErrorMessage="1" errorTitle="Ошибка" error="Допускается ввод только неотрицательных целых чисел!" sqref="AI3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5">
      <formula1>"a"</formula1>
    </dataValidation>
    <dataValidation type="textLength" operator="lessThanOrEqual" allowBlank="1" showInputMessage="1" showErrorMessage="1" errorTitle="Ошибка" error="Допускается ввод не более 900 символов!" sqref="K375">
      <formula1>900</formula1>
    </dataValidation>
    <dataValidation type="whole" allowBlank="1" showErrorMessage="1" errorTitle="Ошибка" error="Допускается ввод только неотрицательных целых чисел!" sqref="AF375">
      <formula1>0</formula1>
      <formula2>9.99999999999999E+23</formula2>
    </dataValidation>
    <dataValidation type="whole" allowBlank="1" showErrorMessage="1" errorTitle="Ошибка" error="Допускается ввод только неотрицательных целых чисел!" sqref="AI3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6">
      <formula1>"a"</formula1>
    </dataValidation>
    <dataValidation type="textLength" operator="lessThanOrEqual" allowBlank="1" showInputMessage="1" showErrorMessage="1" errorTitle="Ошибка" error="Допускается ввод не более 900 символов!" sqref="K376">
      <formula1>900</formula1>
    </dataValidation>
    <dataValidation type="decimal" allowBlank="1" showErrorMessage="1" errorTitle="Ошибка" error="Допускается ввод только неотрицательных чисел!" sqref="AC376">
      <formula1>0</formula1>
      <formula2>9.99999999999999E+23</formula2>
    </dataValidation>
    <dataValidation type="decimal" allowBlank="1" showErrorMessage="1" errorTitle="Ошибка" error="Допускается ввод только неотрицательных чисел!" sqref="AE376">
      <formula1>0</formula1>
      <formula2>9.99999999999999E+23</formula2>
    </dataValidation>
    <dataValidation type="whole" allowBlank="1" showErrorMessage="1" errorTitle="Ошибка" error="Допускается ввод только неотрицательных целых чисел!" sqref="AF376">
      <formula1>0</formula1>
      <formula2>9.99999999999999E+23</formula2>
    </dataValidation>
    <dataValidation type="whole" allowBlank="1" showErrorMessage="1" errorTitle="Ошибка" error="Допускается ввод только неотрицательных целых чисел!" sqref="AI3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7">
      <formula1>"a"</formula1>
    </dataValidation>
    <dataValidation type="textLength" operator="lessThanOrEqual" allowBlank="1" showInputMessage="1" showErrorMessage="1" errorTitle="Ошибка" error="Допускается ввод не более 900 символов!" sqref="K377">
      <formula1>900</formula1>
    </dataValidation>
    <dataValidation type="whole" allowBlank="1" showErrorMessage="1" errorTitle="Ошибка" error="Допускается ввод только неотрицательных целых чисел!" sqref="AF377">
      <formula1>0</formula1>
      <formula2>9.99999999999999E+23</formula2>
    </dataValidation>
    <dataValidation type="whole" allowBlank="1" showErrorMessage="1" errorTitle="Ошибка" error="Допускается ввод только неотрицательных целых чисел!" sqref="AI377">
      <formula1>0</formula1>
      <formula2>9.99999999999999E+23</formula2>
    </dataValidation>
    <dataValidation type="whole" allowBlank="1" showErrorMessage="1" errorTitle="Ошибка" error="Допускается ввод только неотрицательных целых чисел!" sqref="AF378">
      <formula1>0</formula1>
      <formula2>9.99999999999999E+23</formula2>
    </dataValidation>
    <dataValidation type="whole" allowBlank="1" showErrorMessage="1" errorTitle="Ошибка" error="Допускается ввод только неотрицательных целых чисел!" sqref="AI3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0">
      <formula1>"a"</formula1>
    </dataValidation>
    <dataValidation type="textLength" operator="lessThanOrEqual" allowBlank="1" showInputMessage="1" showErrorMessage="1" errorTitle="Ошибка" error="Допускается ввод не более 900 символов!" sqref="K380">
      <formula1>900</formula1>
    </dataValidation>
    <dataValidation type="textLength" operator="lessThanOrEqual" allowBlank="1" showInputMessage="1" showErrorMessage="1" errorTitle="Ошибка" error="Допускается ввод не более 900 символов!" sqref="M380">
      <formula1>900</formula1>
    </dataValidation>
    <dataValidation type="whole" allowBlank="1" showErrorMessage="1" errorTitle="Ошибка" error="Допускается ввод только неотрицательных целых чисел!" sqref="AF380">
      <formula1>0</formula1>
      <formula2>9.99999999999999E+23</formula2>
    </dataValidation>
    <dataValidation type="whole" allowBlank="1" showErrorMessage="1" errorTitle="Ошибка" error="Допускается ввод только неотрицательных целых чисел!" sqref="AI3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1">
      <formula1>"a"</formula1>
    </dataValidation>
    <dataValidation type="textLength" operator="lessThanOrEqual" allowBlank="1" showInputMessage="1" showErrorMessage="1" errorTitle="Ошибка" error="Допускается ввод не более 900 символов!" sqref="K381">
      <formula1>900</formula1>
    </dataValidation>
    <dataValidation type="whole" allowBlank="1" showErrorMessage="1" errorTitle="Ошибка" error="Допускается ввод только неотрицательных целых чисел!" sqref="AF381">
      <formula1>0</formula1>
      <formula2>9.99999999999999E+23</formula2>
    </dataValidation>
    <dataValidation type="whole" allowBlank="1" showErrorMessage="1" errorTitle="Ошибка" error="Допускается ввод только неотрицательных целых чисел!" sqref="AI3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2">
      <formula1>"a"</formula1>
    </dataValidation>
    <dataValidation type="textLength" operator="lessThanOrEqual" allowBlank="1" showInputMessage="1" showErrorMessage="1" errorTitle="Ошибка" error="Допускается ввод не более 900 символов!" sqref="K382">
      <formula1>900</formula1>
    </dataValidation>
    <dataValidation type="decimal" allowBlank="1" showErrorMessage="1" errorTitle="Ошибка" error="Допускается ввод только неотрицательных чисел!" sqref="AC382">
      <formula1>0</formula1>
      <formula2>9.99999999999999E+23</formula2>
    </dataValidation>
    <dataValidation type="decimal" allowBlank="1" showErrorMessage="1" errorTitle="Ошибка" error="Допускается ввод только неотрицательных чисел!" sqref="AE382">
      <formula1>0</formula1>
      <formula2>9.99999999999999E+23</formula2>
    </dataValidation>
    <dataValidation type="whole" allowBlank="1" showErrorMessage="1" errorTitle="Ошибка" error="Допускается ввод только неотрицательных целых чисел!" sqref="AF382">
      <formula1>0</formula1>
      <formula2>9.99999999999999E+23</formula2>
    </dataValidation>
    <dataValidation type="whole" allowBlank="1" showErrorMessage="1" errorTitle="Ошибка" error="Допускается ввод только неотрицательных целых чисел!" sqref="AI3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3">
      <formula1>"a"</formula1>
    </dataValidation>
    <dataValidation type="textLength" operator="lessThanOrEqual" allowBlank="1" showInputMessage="1" showErrorMessage="1" errorTitle="Ошибка" error="Допускается ввод не более 900 символов!" sqref="K383">
      <formula1>900</formula1>
    </dataValidation>
    <dataValidation type="whole" allowBlank="1" showErrorMessage="1" errorTitle="Ошибка" error="Допускается ввод только неотрицательных целых чисел!" sqref="AF383">
      <formula1>0</formula1>
      <formula2>9.99999999999999E+23</formula2>
    </dataValidation>
    <dataValidation type="whole" allowBlank="1" showErrorMessage="1" errorTitle="Ошибка" error="Допускается ввод только неотрицательных целых чисел!" sqref="AI383">
      <formula1>0</formula1>
      <formula2>9.99999999999999E+23</formula2>
    </dataValidation>
    <dataValidation type="whole" allowBlank="1" showErrorMessage="1" errorTitle="Ошибка" error="Допускается ввод только неотрицательных целых чисел!" sqref="AF384">
      <formula1>0</formula1>
      <formula2>9.99999999999999E+23</formula2>
    </dataValidation>
    <dataValidation type="whole" allowBlank="1" showErrorMessage="1" errorTitle="Ошибка" error="Допускается ввод только неотрицательных целых чисел!" sqref="AI3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6">
      <formula1>"a"</formula1>
    </dataValidation>
    <dataValidation type="textLength" operator="lessThanOrEqual" allowBlank="1" showInputMessage="1" showErrorMessage="1" errorTitle="Ошибка" error="Допускается ввод не более 900 символов!" sqref="K386">
      <formula1>900</formula1>
    </dataValidation>
    <dataValidation type="textLength" operator="lessThanOrEqual" allowBlank="1" showInputMessage="1" showErrorMessage="1" errorTitle="Ошибка" error="Допускается ввод не более 900 символов!" sqref="M386">
      <formula1>900</formula1>
    </dataValidation>
    <dataValidation type="whole" allowBlank="1" showErrorMessage="1" errorTitle="Ошибка" error="Допускается ввод только неотрицательных целых чисел!" sqref="AF386">
      <formula1>0</formula1>
      <formula2>9.99999999999999E+23</formula2>
    </dataValidation>
    <dataValidation type="whole" allowBlank="1" showErrorMessage="1" errorTitle="Ошибка" error="Допускается ввод только неотрицательных целых чисел!" sqref="AI3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7">
      <formula1>"a"</formula1>
    </dataValidation>
    <dataValidation type="textLength" operator="lessThanOrEqual" allowBlank="1" showInputMessage="1" showErrorMessage="1" errorTitle="Ошибка" error="Допускается ввод не более 900 символов!" sqref="K387">
      <formula1>900</formula1>
    </dataValidation>
    <dataValidation type="whole" allowBlank="1" showErrorMessage="1" errorTitle="Ошибка" error="Допускается ввод только неотрицательных целых чисел!" sqref="AF387">
      <formula1>0</formula1>
      <formula2>9.99999999999999E+23</formula2>
    </dataValidation>
    <dataValidation type="whole" allowBlank="1" showErrorMessage="1" errorTitle="Ошибка" error="Допускается ввод только неотрицательных целых чисел!" sqref="AI3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8">
      <formula1>"a"</formula1>
    </dataValidation>
    <dataValidation type="textLength" operator="lessThanOrEqual" allowBlank="1" showInputMessage="1" showErrorMessage="1" errorTitle="Ошибка" error="Допускается ввод не более 900 символов!" sqref="K388">
      <formula1>900</formula1>
    </dataValidation>
    <dataValidation type="decimal" allowBlank="1" showErrorMessage="1" errorTitle="Ошибка" error="Допускается ввод только неотрицательных чисел!" sqref="AC388">
      <formula1>0</formula1>
      <formula2>9.99999999999999E+23</formula2>
    </dataValidation>
    <dataValidation type="decimal" allowBlank="1" showErrorMessage="1" errorTitle="Ошибка" error="Допускается ввод только неотрицательных чисел!" sqref="AE388">
      <formula1>0</formula1>
      <formula2>9.99999999999999E+23</formula2>
    </dataValidation>
    <dataValidation type="whole" allowBlank="1" showErrorMessage="1" errorTitle="Ошибка" error="Допускается ввод только неотрицательных целых чисел!" sqref="AF388">
      <formula1>0</formula1>
      <formula2>9.99999999999999E+23</formula2>
    </dataValidation>
    <dataValidation type="whole" allowBlank="1" showErrorMessage="1" errorTitle="Ошибка" error="Допускается ввод только неотрицательных целых чисел!" sqref="AI3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9">
      <formula1>"a"</formula1>
    </dataValidation>
    <dataValidation type="textLength" operator="lessThanOrEqual" allowBlank="1" showInputMessage="1" showErrorMessage="1" errorTitle="Ошибка" error="Допускается ввод не более 900 символов!" sqref="K389">
      <formula1>900</formula1>
    </dataValidation>
    <dataValidation type="whole" allowBlank="1" showErrorMessage="1" errorTitle="Ошибка" error="Допускается ввод только неотрицательных целых чисел!" sqref="AF389">
      <formula1>0</formula1>
      <formula2>9.99999999999999E+23</formula2>
    </dataValidation>
    <dataValidation type="whole" allowBlank="1" showErrorMessage="1" errorTitle="Ошибка" error="Допускается ввод только неотрицательных целых чисел!" sqref="AI389">
      <formula1>0</formula1>
      <formula2>9.99999999999999E+23</formula2>
    </dataValidation>
    <dataValidation type="whole" allowBlank="1" showErrorMessage="1" errorTitle="Ошибка" error="Допускается ввод только неотрицательных целых чисел!" sqref="AF390">
      <formula1>0</formula1>
      <formula2>9.99999999999999E+23</formula2>
    </dataValidation>
    <dataValidation type="whole" allowBlank="1" showErrorMessage="1" errorTitle="Ошибка" error="Допускается ввод только неотрицательных целых чисел!" sqref="AI3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textLength" operator="lessThanOrEqual" allowBlank="1" showInputMessage="1" showErrorMessage="1" errorTitle="Ошибка" error="Допускается ввод не более 900 символов!" sqref="M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textLength" operator="lessThanOrEqual" allowBlank="1" showInputMessage="1" showErrorMessage="1" errorTitle="Ошибка" error="Допускается ввод не более 900 символов!" sqref="M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textLength" operator="lessThanOrEqual" allowBlank="1" showInputMessage="1" showErrorMessage="1" errorTitle="Ошибка" error="Допускается ввод не более 900 символов!" sqref="M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textLength" operator="lessThanOrEqual" allowBlank="1" showInputMessage="1" showErrorMessage="1" errorTitle="Ошибка" error="Допускается ввод не более 900 символов!" sqref="M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decimal" allowBlank="1" showErrorMessage="1" errorTitle="Ошибка" error="Допускается ввод только неотрицательных чисел!" sqref="AC56">
      <formula1>0</formula1>
      <formula2>9.99999999999999E+23</formula2>
    </dataValidation>
    <dataValidation type="decimal" allowBlank="1" showErrorMessage="1" errorTitle="Ошибка" error="Допускается ввод только неотрицательных чисел!" sqref="AE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textLength" operator="lessThanOrEqual" allowBlank="1" showInputMessage="1" showErrorMessage="1" errorTitle="Ошибка" error="Допускается ввод не более 900 символов!" sqref="M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textLength" operator="lessThanOrEqual" allowBlank="1" showInputMessage="1" showErrorMessage="1" errorTitle="Ошибка" error="Допускается ввод не более 900 символов!" sqref="M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textLength" operator="lessThanOrEqual" allowBlank="1" showInputMessage="1" showErrorMessage="1" errorTitle="Ошибка" error="Допускается ввод не более 900 символов!" sqref="M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textLength" operator="lessThanOrEqual" allowBlank="1" showInputMessage="1" showErrorMessage="1" errorTitle="Ошибка" error="Допускается ввод не более 900 символов!" sqref="M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textLength" operator="lessThanOrEqual" allowBlank="1" showInputMessage="1" showErrorMessage="1" errorTitle="Ошибка" error="Допускается ввод не более 900 символов!" sqref="M88">
      <formula1>900</formula1>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decimal" allowBlank="1" showErrorMessage="1" errorTitle="Ошибка" error="Допускается ввод только неотрицательных чисел!" sqref="AC90">
      <formula1>0</formula1>
      <formula2>9.99999999999999E+23</formula2>
    </dataValidation>
    <dataValidation type="decimal" allowBlank="1" showErrorMessage="1" errorTitle="Ошибка" error="Допускается ввод только неотрицательных чисел!" sqref="AE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textLength" operator="lessThanOrEqual" allowBlank="1" showInputMessage="1" showErrorMessage="1" errorTitle="Ошибка" error="Допускается ввод не более 900 символов!" sqref="M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textLength" operator="lessThanOrEqual" allowBlank="1" showInputMessage="1" showErrorMessage="1" errorTitle="Ошибка" error="Допускается ввод не более 900 символов!" sqref="M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textLength" operator="lessThanOrEqual" allowBlank="1" showInputMessage="1" showErrorMessage="1" errorTitle="Ошибка" error="Допускается ввод не более 900 символов!" sqref="M110">
      <formula1>900</formula1>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textLength" operator="lessThanOrEqual" allowBlank="1" showInputMessage="1" showErrorMessage="1" errorTitle="Ошибка" error="Допускается ввод не более 900 символов!" sqref="M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textLength" operator="lessThanOrEqual" allowBlank="1" showInputMessage="1" showErrorMessage="1" errorTitle="Ошибка" error="Допускается ввод не более 900 символов!" sqref="M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textLength" operator="lessThanOrEqual" allowBlank="1" showInputMessage="1" showErrorMessage="1" errorTitle="Ошибка" error="Допускается ввод не более 900 символов!" sqref="M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textLength" operator="lessThanOrEqual" allowBlank="1" showInputMessage="1" showErrorMessage="1" errorTitle="Ошибка" error="Допускается ввод не более 900 символов!" sqref="M140">
      <formula1>900</formula1>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4">
      <formula1>"a"</formula1>
    </dataValidation>
    <dataValidation type="textLength" operator="lessThanOrEqual" allowBlank="1" showInputMessage="1" showErrorMessage="1" errorTitle="Ошибка" error="Допускается ввод не более 900 символов!" sqref="K144">
      <formula1>900</formula1>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textLength" operator="lessThanOrEqual" allowBlank="1" showInputMessage="1" showErrorMessage="1" errorTitle="Ошибка" error="Допускается ввод не более 900 символов!" sqref="M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decimal" allowBlank="1" showErrorMessage="1" errorTitle="Ошибка" error="Допускается ввод только неотрицательных чисел!" sqref="AC148">
      <formula1>0</formula1>
      <formula2>9.99999999999999E+23</formula2>
    </dataValidation>
    <dataValidation type="decimal" allowBlank="1" showErrorMessage="1" errorTitle="Ошибка" error="Допускается ввод только неотрицательных чисел!" sqref="AE148">
      <formula1>0</formula1>
      <formula2>9.99999999999999E+23</formula2>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textLength" operator="lessThanOrEqual" allowBlank="1" showInputMessage="1" showErrorMessage="1" errorTitle="Ошибка" error="Допускается ввод не более 900 символов!" sqref="M152">
      <formula1>900</formula1>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decimal" allowBlank="1" showErrorMessage="1" errorTitle="Ошибка" error="Допускается ввод только неотрицательных чисел!" sqref="AC154">
      <formula1>0</formula1>
      <formula2>9.99999999999999E+23</formula2>
    </dataValidation>
    <dataValidation type="decimal" allowBlank="1" showErrorMessage="1" errorTitle="Ошибка" error="Допускается ввод только неотрицательных чисел!" sqref="AE154">
      <formula1>0</formula1>
      <formula2>9.99999999999999E+23</formula2>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textLength" operator="lessThanOrEqual" allowBlank="1" showInputMessage="1" showErrorMessage="1" errorTitle="Ошибка" error="Допускается ввод не более 900 символов!" sqref="M158">
      <formula1>900</formula1>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0">
      <formula1>"a"</formula1>
    </dataValidation>
    <dataValidation type="textLength" operator="lessThanOrEqual" allowBlank="1" showInputMessage="1" showErrorMessage="1" errorTitle="Ошибка" error="Допускается ввод не более 900 символов!" sqref="K160">
      <formula1>900</formula1>
    </dataValidation>
    <dataValidation type="decimal" allowBlank="1" showErrorMessage="1" errorTitle="Ошибка" error="Допускается ввод только неотрицательных чисел!" sqref="AC160">
      <formula1>0</formula1>
      <formula2>9.99999999999999E+23</formula2>
    </dataValidation>
    <dataValidation type="decimal" allowBlank="1" showErrorMessage="1" errorTitle="Ошибка" error="Допускается ввод только неотрицательных чисел!" sqref="AE160">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textLength" operator="lessThanOrEqual" allowBlank="1" showInputMessage="1" showErrorMessage="1" errorTitle="Ошибка" error="Допускается ввод не более 900 символов!" sqref="M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5">
      <formula1>"a"</formula1>
    </dataValidation>
    <dataValidation type="textLength" operator="lessThanOrEqual" allowBlank="1" showInputMessage="1" showErrorMessage="1" errorTitle="Ошибка" error="Допускается ввод не более 900 символов!" sqref="K165">
      <formula1>900</formula1>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decimal" allowBlank="1" showErrorMessage="1" errorTitle="Ошибка" error="Допускается ввод только неотрицательных чисел!" sqref="AC166">
      <formula1>0</formula1>
      <formula2>9.99999999999999E+23</formula2>
    </dataValidation>
    <dataValidation type="decimal" allowBlank="1" showErrorMessage="1" errorTitle="Ошибка" error="Допускается ввод только неотрицательных чисел!" sqref="AE166">
      <formula1>0</formula1>
      <formula2>9.99999999999999E+23</formula2>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textLength" operator="lessThanOrEqual" allowBlank="1" showInputMessage="1" showErrorMessage="1" errorTitle="Ошибка" error="Допускается ввод не более 900 символов!" sqref="M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1">
      <formula1>"a"</formula1>
    </dataValidation>
    <dataValidation type="textLength" operator="lessThanOrEqual" allowBlank="1" showInputMessage="1" showErrorMessage="1" errorTitle="Ошибка" error="Допускается ввод не более 900 символов!" sqref="K171">
      <formula1>900</formula1>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decimal" allowBlank="1" showErrorMessage="1" errorTitle="Ошибка" error="Допускается ввод только неотрицательных чисел!" sqref="AC172">
      <formula1>0</formula1>
      <formula2>9.99999999999999E+23</formula2>
    </dataValidation>
    <dataValidation type="decimal" allowBlank="1" showErrorMessage="1" errorTitle="Ошибка" error="Допускается ввод только неотрицательных чисел!" sqref="AE172">
      <formula1>0</formula1>
      <formula2>9.99999999999999E+23</formula2>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textLength" operator="lessThanOrEqual" allowBlank="1" showInputMessage="1" showErrorMessage="1" errorTitle="Ошибка" error="Допускается ввод не более 900 символов!" sqref="M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7">
      <formula1>"a"</formula1>
    </dataValidation>
    <dataValidation type="textLength" operator="lessThanOrEqual" allowBlank="1" showInputMessage="1" showErrorMessage="1" errorTitle="Ошибка" error="Допускается ввод не более 900 символов!" sqref="K177">
      <formula1>900</formula1>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decimal" allowBlank="1" showErrorMessage="1" errorTitle="Ошибка" error="Допускается ввод только неотрицательных чисел!" sqref="AC178">
      <formula1>0</formula1>
      <formula2>9.99999999999999E+23</formula2>
    </dataValidation>
    <dataValidation type="decimal" allowBlank="1" showErrorMessage="1" errorTitle="Ошибка" error="Допускается ввод только неотрицательных чисел!" sqref="AE178">
      <formula1>0</formula1>
      <formula2>9.99999999999999E+23</formula2>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textLength" operator="lessThanOrEqual" allowBlank="1" showInputMessage="1" showErrorMessage="1" errorTitle="Ошибка" error="Допускается ввод не более 900 символов!" sqref="M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3">
      <formula1>"a"</formula1>
    </dataValidation>
    <dataValidation type="textLength" operator="lessThanOrEqual" allowBlank="1" showInputMessage="1" showErrorMessage="1" errorTitle="Ошибка" error="Допускается ввод не более 900 символов!" sqref="K183">
      <formula1>900</formula1>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decimal" allowBlank="1" showErrorMessage="1" errorTitle="Ошибка" error="Допускается ввод только неотрицательных чисел!" sqref="AC184">
      <formula1>0</formula1>
      <formula2>9.99999999999999E+23</formula2>
    </dataValidation>
    <dataValidation type="decimal" allowBlank="1" showErrorMessage="1" errorTitle="Ошибка" error="Допускается ввод только неотрицательных чисел!" sqref="AE184">
      <formula1>0</formula1>
      <formula2>9.99999999999999E+23</formula2>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textLength" operator="lessThanOrEqual" allowBlank="1" showInputMessage="1" showErrorMessage="1" errorTitle="Ошибка" error="Допускается ввод не более 900 символов!" sqref="M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9">
      <formula1>"a"</formula1>
    </dataValidation>
    <dataValidation type="textLength" operator="lessThanOrEqual" allowBlank="1" showInputMessage="1" showErrorMessage="1" errorTitle="Ошибка" error="Допускается ввод не более 900 символов!" sqref="K189">
      <formula1>900</formula1>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decimal" allowBlank="1" showErrorMessage="1" errorTitle="Ошибка" error="Допускается ввод только неотрицательных чисел!" sqref="AC190">
      <formula1>0</formula1>
      <formula2>9.99999999999999E+23</formula2>
    </dataValidation>
    <dataValidation type="decimal" allowBlank="1" showErrorMessage="1" errorTitle="Ошибка" error="Допускается ввод только неотрицательных чисел!" sqref="AE190">
      <formula1>0</formula1>
      <formula2>9.99999999999999E+23</formula2>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textLength" operator="lessThanOrEqual" allowBlank="1" showInputMessage="1" showErrorMessage="1" errorTitle="Ошибка" error="Допускается ввод не более 900 символов!" sqref="M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5">
      <formula1>"a"</formula1>
    </dataValidation>
    <dataValidation type="textLength" operator="lessThanOrEqual" allowBlank="1" showInputMessage="1" showErrorMessage="1" errorTitle="Ошибка" error="Допускается ввод не более 900 символов!" sqref="K195">
      <formula1>900</formula1>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decimal" allowBlank="1" showErrorMessage="1" errorTitle="Ошибка" error="Допускается ввод только неотрицательных чисел!" sqref="AC196">
      <formula1>0</formula1>
      <formula2>9.99999999999999E+23</formula2>
    </dataValidation>
    <dataValidation type="decimal" allowBlank="1" showErrorMessage="1" errorTitle="Ошибка" error="Допускается ввод только неотрицательных чисел!" sqref="AE196">
      <formula1>0</formula1>
      <formula2>9.99999999999999E+23</formula2>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textLength" operator="lessThanOrEqual" allowBlank="1" showInputMessage="1" showErrorMessage="1" errorTitle="Ошибка" error="Допускается ввод не более 900 символов!" sqref="M200">
      <formula1>900</formula1>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1">
      <formula1>"a"</formula1>
    </dataValidation>
    <dataValidation type="textLength" operator="lessThanOrEqual" allowBlank="1" showInputMessage="1" showErrorMessage="1" errorTitle="Ошибка" error="Допускается ввод не более 900 символов!" sqref="K201">
      <formula1>900</formula1>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decimal" allowBlank="1" showErrorMessage="1" errorTitle="Ошибка" error="Допускается ввод только неотрицательных чисел!" sqref="AC202">
      <formula1>0</formula1>
      <formula2>9.99999999999999E+23</formula2>
    </dataValidation>
    <dataValidation type="decimal" allowBlank="1" showErrorMessage="1" errorTitle="Ошибка" error="Допускается ввод только неотрицательных чисел!" sqref="AE202">
      <formula1>0</formula1>
      <formula2>9.99999999999999E+23</formula2>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6">
      <formula1>"a"</formula1>
    </dataValidation>
    <dataValidation type="textLength" operator="lessThanOrEqual" allowBlank="1" showInputMessage="1" showErrorMessage="1" errorTitle="Ошибка" error="Допускается ввод не более 900 символов!" sqref="K206">
      <formula1>900</formula1>
    </dataValidation>
    <dataValidation type="textLength" operator="lessThanOrEqual" allowBlank="1" showInputMessage="1" showErrorMessage="1" errorTitle="Ошибка" error="Допускается ввод не более 900 символов!" sqref="M206">
      <formula1>900</formula1>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decimal" allowBlank="1" showErrorMessage="1" errorTitle="Ошибка" error="Допускается ввод только неотрицательных чисел!" sqref="AC208">
      <formula1>0</formula1>
      <formula2>9.99999999999999E+23</formula2>
    </dataValidation>
    <dataValidation type="decimal" allowBlank="1" showErrorMessage="1" errorTitle="Ошибка" error="Допускается ввод только неотрицательных чисел!" sqref="AE208">
      <formula1>0</formula1>
      <formula2>9.99999999999999E+23</formula2>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textLength" operator="lessThanOrEqual" allowBlank="1" showInputMessage="1" showErrorMessage="1" errorTitle="Ошибка" error="Допускается ввод не более 900 символов!" sqref="M212">
      <formula1>900</formula1>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decimal" allowBlank="1" showErrorMessage="1" errorTitle="Ошибка" error="Допускается ввод только неотрицательных чисел!" sqref="AC214">
      <formula1>0</formula1>
      <formula2>9.99999999999999E+23</formula2>
    </dataValidation>
    <dataValidation type="decimal" allowBlank="1" showErrorMessage="1" errorTitle="Ошибка" error="Допускается ввод только неотрицательных чисел!" sqref="AE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textLength" operator="lessThanOrEqual" allowBlank="1" showInputMessage="1" showErrorMessage="1" errorTitle="Ошибка" error="Допускается ввод не более 900 символов!" sqref="M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textLength" operator="lessThanOrEqual" allowBlank="1" showInputMessage="1" showErrorMessage="1" errorTitle="Ошибка" error="Допускается ввод не более 900 символов!" sqref="M224">
      <formula1>900</formula1>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decimal" allowBlank="1" showErrorMessage="1" errorTitle="Ошибка" error="Допускается ввод только неотрицательных чисел!" sqref="AC226">
      <formula1>0</formula1>
      <formula2>9.99999999999999E+23</formula2>
    </dataValidation>
    <dataValidation type="decimal" allowBlank="1" showErrorMessage="1" errorTitle="Ошибка" error="Допускается ввод только неотрицательных чисел!" sqref="AE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8">
      <formula1>"a"</formula1>
    </dataValidation>
    <dataValidation type="textLength" operator="lessThanOrEqual" allowBlank="1" showInputMessage="1" showErrorMessage="1" errorTitle="Ошибка" error="Допускается ввод не более 900 символов!" sqref="K228">
      <formula1>900</formula1>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textLength" operator="lessThanOrEqual" allowBlank="1" showInputMessage="1" showErrorMessage="1" errorTitle="Ошибка" error="Допускается ввод не более 900 символов!" sqref="M230">
      <formula1>900</formula1>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decimal" allowBlank="1" showErrorMessage="1" errorTitle="Ошибка" error="Допускается ввод только неотрицательных чисел!" sqref="AC232">
      <formula1>0</formula1>
      <formula2>9.99999999999999E+23</formula2>
    </dataValidation>
    <dataValidation type="decimal" allowBlank="1" showErrorMessage="1" errorTitle="Ошибка" error="Допускается ввод только неотрицательных чисел!" sqref="AE232">
      <formula1>0</formula1>
      <formula2>9.99999999999999E+23</formula2>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textLength" operator="lessThanOrEqual" allowBlank="1" showInputMessage="1" showErrorMessage="1" errorTitle="Ошибка" error="Допускается ввод не более 900 символов!" sqref="M236">
      <formula1>900</formula1>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0">
      <formula1>"a"</formula1>
    </dataValidation>
    <dataValidation type="textLength" operator="lessThanOrEqual" allowBlank="1" showInputMessage="1" showErrorMessage="1" errorTitle="Ошибка" error="Допускается ввод не более 900 символов!" sqref="K240">
      <formula1>900</formula1>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textLength" operator="lessThanOrEqual" allowBlank="1" showInputMessage="1" showErrorMessage="1" errorTitle="Ошибка" error="Допускается ввод не более 900 символов!" sqref="M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decimal" allowBlank="1" showErrorMessage="1" errorTitle="Ошибка" error="Допускается ввод только неотрицательных чисел!" sqref="AC244">
      <formula1>0</formula1>
      <formula2>9.99999999999999E+23</formula2>
    </dataValidation>
    <dataValidation type="decimal" allowBlank="1" showErrorMessage="1" errorTitle="Ошибка" error="Допускается ввод только неотрицательных чисел!" sqref="AE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textLength" operator="lessThanOrEqual" allowBlank="1" showInputMessage="1" showErrorMessage="1" errorTitle="Ошибка" error="Допускается ввод не более 900 символов!" sqref="M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decimal" allowBlank="1" showErrorMessage="1" errorTitle="Ошибка" error="Допускается ввод только неотрицательных чисел!" sqref="AC250">
      <formula1>0</formula1>
      <formula2>9.99999999999999E+23</formula2>
    </dataValidation>
    <dataValidation type="decimal" allowBlank="1" showErrorMessage="1" errorTitle="Ошибка" error="Допускается ввод только неотрицательных чисел!" sqref="AE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4">
      <formula1>"a"</formula1>
    </dataValidation>
    <dataValidation type="textLength" operator="lessThanOrEqual" allowBlank="1" showInputMessage="1" showErrorMessage="1" errorTitle="Ошибка" error="Допускается ввод не более 900 символов!" sqref="K254">
      <formula1>900</formula1>
    </dataValidation>
    <dataValidation type="textLength" operator="lessThanOrEqual" allowBlank="1" showInputMessage="1" showErrorMessage="1" errorTitle="Ошибка" error="Допускается ввод не более 900 символов!" sqref="M254">
      <formula1>900</formula1>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5">
      <formula1>"a"</formula1>
    </dataValidation>
    <dataValidation type="textLength" operator="lessThanOrEqual" allowBlank="1" showInputMessage="1" showErrorMessage="1" errorTitle="Ошибка" error="Допускается ввод не более 900 символов!" sqref="K255">
      <formula1>900</formula1>
    </dataValidation>
    <dataValidation type="whole" allowBlank="1" showErrorMessage="1" errorTitle="Ошибка" error="Допускается ввод только неотрицательных целых чисел!" sqref="AF255">
      <formula1>0</formula1>
      <formula2>9.99999999999999E+23</formula2>
    </dataValidation>
    <dataValidation type="whole" allowBlank="1" showErrorMessage="1" errorTitle="Ошибка" error="Допускается ввод только неотрицательных целых чисел!" sqref="AI2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decimal" allowBlank="1" showErrorMessage="1" errorTitle="Ошибка" error="Допускается ввод только неотрицательных чисел!" sqref="AC256">
      <formula1>0</formula1>
      <formula2>9.99999999999999E+23</formula2>
    </dataValidation>
    <dataValidation type="decimal" allowBlank="1" showErrorMessage="1" errorTitle="Ошибка" error="Допускается ввод только неотрицательных чисел!" sqref="AE256">
      <formula1>0</formula1>
      <formula2>9.99999999999999E+23</formula2>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0">
      <formula1>"a"</formula1>
    </dataValidation>
    <dataValidation type="textLength" operator="lessThanOrEqual" allowBlank="1" showInputMessage="1" showErrorMessage="1" errorTitle="Ошибка" error="Допускается ввод не более 900 символов!" sqref="K260">
      <formula1>900</formula1>
    </dataValidation>
    <dataValidation type="textLength" operator="lessThanOrEqual" allowBlank="1" showInputMessage="1" showErrorMessage="1" errorTitle="Ошибка" error="Допускается ввод не более 900 символов!" sqref="M260">
      <formula1>900</formula1>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1">
      <formula1>"a"</formula1>
    </dataValidation>
    <dataValidation type="textLength" operator="lessThanOrEqual" allowBlank="1" showInputMessage="1" showErrorMessage="1" errorTitle="Ошибка" error="Допускается ввод не более 900 символов!" sqref="K261">
      <formula1>900</formula1>
    </dataValidation>
    <dataValidation type="whole" allowBlank="1" showErrorMessage="1" errorTitle="Ошибка" error="Допускается ввод только неотрицательных целых чисел!" sqref="AF261">
      <formula1>0</formula1>
      <formula2>9.99999999999999E+23</formula2>
    </dataValidation>
    <dataValidation type="whole" allowBlank="1" showErrorMessage="1" errorTitle="Ошибка" error="Допускается ввод только неотрицательных целых чисел!" sqref="AI2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decimal" allowBlank="1" showErrorMessage="1" errorTitle="Ошибка" error="Допускается ввод только неотрицательных чисел!" sqref="AC262">
      <formula1>0</formula1>
      <formula2>9.99999999999999E+23</formula2>
    </dataValidation>
    <dataValidation type="decimal" allowBlank="1" showErrorMessage="1" errorTitle="Ошибка" error="Допускается ввод только неотрицательных чисел!" sqref="AE262">
      <formula1>0</formula1>
      <formula2>9.99999999999999E+23</formula2>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textLength" operator="lessThanOrEqual" allowBlank="1" showInputMessage="1" showErrorMessage="1" errorTitle="Ошибка" error="Допускается ввод не более 900 символов!" sqref="K264">
      <formula1>900</formula1>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6">
      <formula1>"a"</formula1>
    </dataValidation>
    <dataValidation type="textLength" operator="lessThanOrEqual" allowBlank="1" showInputMessage="1" showErrorMessage="1" errorTitle="Ошибка" error="Допускается ввод не более 900 символов!" sqref="K266">
      <formula1>900</formula1>
    </dataValidation>
    <dataValidation type="textLength" operator="lessThanOrEqual" allowBlank="1" showInputMessage="1" showErrorMessage="1" errorTitle="Ошибка" error="Допускается ввод не более 900 символов!" sqref="M266">
      <formula1>900</formula1>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7">
      <formula1>"a"</formula1>
    </dataValidation>
    <dataValidation type="textLength" operator="lessThanOrEqual" allowBlank="1" showInputMessage="1" showErrorMessage="1" errorTitle="Ошибка" error="Допускается ввод не более 900 символов!" sqref="K267">
      <formula1>900</formula1>
    </dataValidation>
    <dataValidation type="whole" allowBlank="1" showErrorMessage="1" errorTitle="Ошибка" error="Допускается ввод только неотрицательных целых чисел!" sqref="AF267">
      <formula1>0</formula1>
      <formula2>9.99999999999999E+23</formula2>
    </dataValidation>
    <dataValidation type="whole" allowBlank="1" showErrorMessage="1" errorTitle="Ошибка" error="Допускается ввод только неотрицательных целых чисел!" sqref="AI2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decimal" allowBlank="1" showErrorMessage="1" errorTitle="Ошибка" error="Допускается ввод только неотрицательных чисел!" sqref="AC268">
      <formula1>0</formula1>
      <formula2>9.99999999999999E+23</formula2>
    </dataValidation>
    <dataValidation type="decimal" allowBlank="1" showErrorMessage="1" errorTitle="Ошибка" error="Допускается ввод только неотрицательных чисел!" sqref="AE268">
      <formula1>0</formula1>
      <formula2>9.99999999999999E+23</formula2>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textLength" operator="lessThanOrEqual" allowBlank="1" showInputMessage="1" showErrorMessage="1" errorTitle="Ошибка" error="Допускается ввод не более 900 символов!" sqref="K270">
      <formula1>900</formula1>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2">
      <formula1>"a"</formula1>
    </dataValidation>
    <dataValidation type="textLength" operator="lessThanOrEqual" allowBlank="1" showInputMessage="1" showErrorMessage="1" errorTitle="Ошибка" error="Допускается ввод не более 900 символов!" sqref="K272">
      <formula1>900</formula1>
    </dataValidation>
    <dataValidation type="textLength" operator="lessThanOrEqual" allowBlank="1" showInputMessage="1" showErrorMessage="1" errorTitle="Ошибка" error="Допускается ввод не более 900 символов!" sqref="M272">
      <formula1>900</formula1>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3">
      <formula1>"a"</formula1>
    </dataValidation>
    <dataValidation type="textLength" operator="lessThanOrEqual" allowBlank="1" showInputMessage="1" showErrorMessage="1" errorTitle="Ошибка" error="Допускается ввод не более 900 символов!" sqref="K273">
      <formula1>900</formula1>
    </dataValidation>
    <dataValidation type="whole" allowBlank="1" showErrorMessage="1" errorTitle="Ошибка" error="Допускается ввод только неотрицательных целых чисел!" sqref="AF273">
      <formula1>0</formula1>
      <formula2>9.99999999999999E+23</formula2>
    </dataValidation>
    <dataValidation type="whole" allowBlank="1" showErrorMessage="1" errorTitle="Ошибка" error="Допускается ввод только неотрицательных целых чисел!" sqref="AI2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4">
      <formula1>"a"</formula1>
    </dataValidation>
    <dataValidation type="textLength" operator="lessThanOrEqual" allowBlank="1" showInputMessage="1" showErrorMessage="1" errorTitle="Ошибка" error="Допускается ввод не более 900 символов!" sqref="K274">
      <formula1>900</formula1>
    </dataValidation>
    <dataValidation type="decimal" allowBlank="1" showErrorMessage="1" errorTitle="Ошибка" error="Допускается ввод только неотрицательных чисел!" sqref="AC274">
      <formula1>0</formula1>
      <formula2>9.99999999999999E+23</formula2>
    </dataValidation>
    <dataValidation type="decimal" allowBlank="1" showErrorMessage="1" errorTitle="Ошибка" error="Допускается ввод только неотрицательных чисел!" sqref="AE274">
      <formula1>0</formula1>
      <formula2>9.99999999999999E+23</formula2>
    </dataValidation>
    <dataValidation type="whole" allowBlank="1" showErrorMessage="1" errorTitle="Ошибка" error="Допускается ввод только неотрицательных целых чисел!" sqref="AF274">
      <formula1>0</formula1>
      <formula2>9.99999999999999E+23</formula2>
    </dataValidation>
    <dataValidation type="whole" allowBlank="1" showErrorMessage="1" errorTitle="Ошибка" error="Допускается ввод только неотрицательных целых чисел!" sqref="AI2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6">
      <formula1>"a"</formula1>
    </dataValidation>
    <dataValidation type="textLength" operator="lessThanOrEqual" allowBlank="1" showInputMessage="1" showErrorMessage="1" errorTitle="Ошибка" error="Допускается ввод не более 900 символов!" sqref="K276">
      <formula1>900</formula1>
    </dataValidation>
    <dataValidation type="whole" allowBlank="1" showErrorMessage="1" errorTitle="Ошибка" error="Допускается ввод только неотрицательных целых чисел!" sqref="AF276">
      <formula1>0</formula1>
      <formula2>9.99999999999999E+23</formula2>
    </dataValidation>
    <dataValidation type="whole" allowBlank="1" showErrorMessage="1" errorTitle="Ошибка" error="Допускается ввод только неотрицательных целых чисел!" sqref="AI276">
      <formula1>0</formula1>
      <formula2>9.99999999999999E+23</formula2>
    </dataValidation>
    <dataValidation type="whole" allowBlank="1" showErrorMessage="1" errorTitle="Ошибка" error="Допускается ввод только неотрицательных целых чисел!" sqref="AF277">
      <formula1>0</formula1>
      <formula2>9.99999999999999E+23</formula2>
    </dataValidation>
    <dataValidation type="whole" allowBlank="1" showErrorMessage="1" errorTitle="Ошибка" error="Допускается ввод только неотрицательных целых чисел!" sqref="AI2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8">
      <formula1>"a"</formula1>
    </dataValidation>
    <dataValidation type="textLength" operator="lessThanOrEqual" allowBlank="1" showInputMessage="1" showErrorMessage="1" errorTitle="Ошибка" error="Допускается ввод не более 900 символов!" sqref="K278">
      <formula1>900</formula1>
    </dataValidation>
    <dataValidation type="textLength" operator="lessThanOrEqual" allowBlank="1" showInputMessage="1" showErrorMessage="1" errorTitle="Ошибка" error="Допускается ввод не более 900 символов!" sqref="M278">
      <formula1>900</formula1>
    </dataValidation>
    <dataValidation type="whole" allowBlank="1" showErrorMessage="1" errorTitle="Ошибка" error="Допускается ввод только неотрицательных целых чисел!" sqref="AF278">
      <formula1>0</formula1>
      <formula2>9.99999999999999E+23</formula2>
    </dataValidation>
    <dataValidation type="whole" allowBlank="1" showErrorMessage="1" errorTitle="Ошибка" error="Допускается ввод только неотрицательных целых чисел!" sqref="AI2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9">
      <formula1>"a"</formula1>
    </dataValidation>
    <dataValidation type="textLength" operator="lessThanOrEqual" allowBlank="1" showInputMessage="1" showErrorMessage="1" errorTitle="Ошибка" error="Допускается ввод не более 900 символов!" sqref="K279">
      <formula1>900</formula1>
    </dataValidation>
    <dataValidation type="whole" allowBlank="1" showErrorMessage="1" errorTitle="Ошибка" error="Допускается ввод только неотрицательных целых чисел!" sqref="AF279">
      <formula1>0</formula1>
      <formula2>9.99999999999999E+23</formula2>
    </dataValidation>
    <dataValidation type="whole" allowBlank="1" showErrorMessage="1" errorTitle="Ошибка" error="Допускается ввод только неотрицательных целых чисел!" sqref="AI2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0">
      <formula1>"a"</formula1>
    </dataValidation>
    <dataValidation type="textLength" operator="lessThanOrEqual" allowBlank="1" showInputMessage="1" showErrorMessage="1" errorTitle="Ошибка" error="Допускается ввод не более 900 символов!" sqref="K280">
      <formula1>900</formula1>
    </dataValidation>
    <dataValidation type="decimal" allowBlank="1" showErrorMessage="1" errorTitle="Ошибка" error="Допускается ввод только неотрицательных чисел!" sqref="AC280">
      <formula1>0</formula1>
      <formula2>9.99999999999999E+23</formula2>
    </dataValidation>
    <dataValidation type="decimal" allowBlank="1" showErrorMessage="1" errorTitle="Ошибка" error="Допускается ввод только неотрицательных чисел!" sqref="AE280">
      <formula1>0</formula1>
      <formula2>9.99999999999999E+23</formula2>
    </dataValidation>
    <dataValidation type="whole" allowBlank="1" showErrorMessage="1" errorTitle="Ошибка" error="Допускается ввод только неотрицательных целых чисел!" sqref="AF280">
      <formula1>0</formula1>
      <formula2>9.99999999999999E+23</formula2>
    </dataValidation>
    <dataValidation type="whole" allowBlank="1" showErrorMessage="1" errorTitle="Ошибка" error="Допускается ввод только неотрицательных целых чисел!" sqref="AI2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2">
      <formula1>"a"</formula1>
    </dataValidation>
    <dataValidation type="textLength" operator="lessThanOrEqual" allowBlank="1" showInputMessage="1" showErrorMessage="1" errorTitle="Ошибка" error="Допускается ввод не более 900 символов!" sqref="K282">
      <formula1>900</formula1>
    </dataValidation>
    <dataValidation type="whole" allowBlank="1" showErrorMessage="1" errorTitle="Ошибка" error="Допускается ввод только неотрицательных целых чисел!" sqref="AF282">
      <formula1>0</formula1>
      <formula2>9.99999999999999E+23</formula2>
    </dataValidation>
    <dataValidation type="whole" allowBlank="1" showErrorMessage="1" errorTitle="Ошибка" error="Допускается ввод только неотрицательных целых чисел!" sqref="AI282">
      <formula1>0</formula1>
      <formula2>9.99999999999999E+23</formula2>
    </dataValidation>
    <dataValidation type="whole" allowBlank="1" showErrorMessage="1" errorTitle="Ошибка" error="Допускается ввод только неотрицательных целых чисел!" sqref="AF283">
      <formula1>0</formula1>
      <formula2>9.99999999999999E+23</formula2>
    </dataValidation>
    <dataValidation type="whole" allowBlank="1" showErrorMessage="1" errorTitle="Ошибка" error="Допускается ввод только неотрицательных целых чисел!" sqref="AI2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4">
      <formula1>"a"</formula1>
    </dataValidation>
    <dataValidation type="textLength" operator="lessThanOrEqual" allowBlank="1" showInputMessage="1" showErrorMessage="1" errorTitle="Ошибка" error="Допускается ввод не более 900 символов!" sqref="K284">
      <formula1>900</formula1>
    </dataValidation>
    <dataValidation type="textLength" operator="lessThanOrEqual" allowBlank="1" showInputMessage="1" showErrorMessage="1" errorTitle="Ошибка" error="Допускается ввод не более 900 символов!" sqref="M284">
      <formula1>900</formula1>
    </dataValidation>
    <dataValidation type="whole" allowBlank="1" showErrorMessage="1" errorTitle="Ошибка" error="Допускается ввод только неотрицательных целых чисел!" sqref="AF284">
      <formula1>0</formula1>
      <formula2>9.99999999999999E+23</formula2>
    </dataValidation>
    <dataValidation type="whole" allowBlank="1" showErrorMessage="1" errorTitle="Ошибка" error="Допускается ввод только неотрицательных целых чисел!" sqref="AI2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5">
      <formula1>"a"</formula1>
    </dataValidation>
    <dataValidation type="textLength" operator="lessThanOrEqual" allowBlank="1" showInputMessage="1" showErrorMessage="1" errorTitle="Ошибка" error="Допускается ввод не более 900 символов!" sqref="K285">
      <formula1>900</formula1>
    </dataValidation>
    <dataValidation type="whole" allowBlank="1" showErrorMessage="1" errorTitle="Ошибка" error="Допускается ввод только неотрицательных целых чисел!" sqref="AF285">
      <formula1>0</formula1>
      <formula2>9.99999999999999E+23</formula2>
    </dataValidation>
    <dataValidation type="whole" allowBlank="1" showErrorMessage="1" errorTitle="Ошибка" error="Допускается ввод только неотрицательных целых чисел!" sqref="AI2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6">
      <formula1>"a"</formula1>
    </dataValidation>
    <dataValidation type="textLength" operator="lessThanOrEqual" allowBlank="1" showInputMessage="1" showErrorMessage="1" errorTitle="Ошибка" error="Допускается ввод не более 900 символов!" sqref="K286">
      <formula1>900</formula1>
    </dataValidation>
    <dataValidation type="decimal" allowBlank="1" showErrorMessage="1" errorTitle="Ошибка" error="Допускается ввод только неотрицательных чисел!" sqref="AC286">
      <formula1>0</formula1>
      <formula2>9.99999999999999E+23</formula2>
    </dataValidation>
    <dataValidation type="decimal" allowBlank="1" showErrorMessage="1" errorTitle="Ошибка" error="Допускается ввод только неотрицательных чисел!" sqref="AE286">
      <formula1>0</formula1>
      <formula2>9.99999999999999E+23</formula2>
    </dataValidation>
    <dataValidation type="whole" allowBlank="1" showErrorMessage="1" errorTitle="Ошибка" error="Допускается ввод только неотрицательных целых чисел!" sqref="AF286">
      <formula1>0</formula1>
      <formula2>9.99999999999999E+23</formula2>
    </dataValidation>
    <dataValidation type="whole" allowBlank="1" showErrorMessage="1" errorTitle="Ошибка" error="Допускается ввод только неотрицательных целых чисел!" sqref="AI2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8">
      <formula1>"a"</formula1>
    </dataValidation>
    <dataValidation type="textLength" operator="lessThanOrEqual" allowBlank="1" showInputMessage="1" showErrorMessage="1" errorTitle="Ошибка" error="Допускается ввод не более 900 символов!" sqref="K288">
      <formula1>900</formula1>
    </dataValidation>
    <dataValidation type="whole" allowBlank="1" showErrorMessage="1" errorTitle="Ошибка" error="Допускается ввод только неотрицательных целых чисел!" sqref="AF288">
      <formula1>0</formula1>
      <formula2>9.99999999999999E+23</formula2>
    </dataValidation>
    <dataValidation type="whole" allowBlank="1" showErrorMessage="1" errorTitle="Ошибка" error="Допускается ввод только неотрицательных целых чисел!" sqref="AI288">
      <formula1>0</formula1>
      <formula2>9.99999999999999E+23</formula2>
    </dataValidation>
    <dataValidation type="whole" allowBlank="1" showErrorMessage="1" errorTitle="Ошибка" error="Допускается ввод только неотрицательных целых чисел!" sqref="AF289">
      <formula1>0</formula1>
      <formula2>9.99999999999999E+23</formula2>
    </dataValidation>
    <dataValidation type="whole" allowBlank="1" showErrorMessage="1" errorTitle="Ошибка" error="Допускается ввод только неотрицательных целых чисел!" sqref="AI2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0">
      <formula1>"a"</formula1>
    </dataValidation>
    <dataValidation type="textLength" operator="lessThanOrEqual" allowBlank="1" showInputMessage="1" showErrorMessage="1" errorTitle="Ошибка" error="Допускается ввод не более 900 символов!" sqref="K290">
      <formula1>900</formula1>
    </dataValidation>
    <dataValidation type="textLength" operator="lessThanOrEqual" allowBlank="1" showInputMessage="1" showErrorMessage="1" errorTitle="Ошибка" error="Допускается ввод не более 900 символов!" sqref="M290">
      <formula1>900</formula1>
    </dataValidation>
    <dataValidation type="whole" allowBlank="1" showErrorMessage="1" errorTitle="Ошибка" error="Допускается ввод только неотрицательных целых чисел!" sqref="AF290">
      <formula1>0</formula1>
      <formula2>9.99999999999999E+23</formula2>
    </dataValidation>
    <dataValidation type="whole" allowBlank="1" showErrorMessage="1" errorTitle="Ошибка" error="Допускается ввод только неотрицательных целых чисел!" sqref="AI2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1">
      <formula1>"a"</formula1>
    </dataValidation>
    <dataValidation type="textLength" operator="lessThanOrEqual" allowBlank="1" showInputMessage="1" showErrorMessage="1" errorTitle="Ошибка" error="Допускается ввод не более 900 символов!" sqref="K291">
      <formula1>900</formula1>
    </dataValidation>
    <dataValidation type="whole" allowBlank="1" showErrorMessage="1" errorTitle="Ошибка" error="Допускается ввод только неотрицательных целых чисел!" sqref="AF291">
      <formula1>0</formula1>
      <formula2>9.99999999999999E+23</formula2>
    </dataValidation>
    <dataValidation type="whole" allowBlank="1" showErrorMessage="1" errorTitle="Ошибка" error="Допускается ввод только неотрицательных целых чисел!" sqref="AI2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2">
      <formula1>"a"</formula1>
    </dataValidation>
    <dataValidation type="textLength" operator="lessThanOrEqual" allowBlank="1" showInputMessage="1" showErrorMessage="1" errorTitle="Ошибка" error="Допускается ввод не более 900 символов!" sqref="K292">
      <formula1>900</formula1>
    </dataValidation>
    <dataValidation type="decimal" allowBlank="1" showErrorMessage="1" errorTitle="Ошибка" error="Допускается ввод только неотрицательных чисел!" sqref="AC292">
      <formula1>0</formula1>
      <formula2>9.99999999999999E+23</formula2>
    </dataValidation>
    <dataValidation type="decimal" allowBlank="1" showErrorMessage="1" errorTitle="Ошибка" error="Допускается ввод только неотрицательных чисел!" sqref="AE292">
      <formula1>0</formula1>
      <formula2>9.99999999999999E+23</formula2>
    </dataValidation>
    <dataValidation type="whole" allowBlank="1" showErrorMessage="1" errorTitle="Ошибка" error="Допускается ввод только неотрицательных целых чисел!" sqref="AF292">
      <formula1>0</formula1>
      <formula2>9.99999999999999E+23</formula2>
    </dataValidation>
    <dataValidation type="whole" allowBlank="1" showErrorMessage="1" errorTitle="Ошибка" error="Допускается ввод только неотрицательных целых чисел!" sqref="AI2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4">
      <formula1>"a"</formula1>
    </dataValidation>
    <dataValidation type="textLength" operator="lessThanOrEqual" allowBlank="1" showInputMessage="1" showErrorMessage="1" errorTitle="Ошибка" error="Допускается ввод не более 900 символов!" sqref="K294">
      <formula1>900</formula1>
    </dataValidation>
    <dataValidation type="whole" allowBlank="1" showErrorMessage="1" errorTitle="Ошибка" error="Допускается ввод только неотрицательных целых чисел!" sqref="AF294">
      <formula1>0</formula1>
      <formula2>9.99999999999999E+23</formula2>
    </dataValidation>
    <dataValidation type="whole" allowBlank="1" showErrorMessage="1" errorTitle="Ошибка" error="Допускается ввод только неотрицательных целых чисел!" sqref="AI294">
      <formula1>0</formula1>
      <formula2>9.99999999999999E+23</formula2>
    </dataValidation>
    <dataValidation type="whole" allowBlank="1" showErrorMessage="1" errorTitle="Ошибка" error="Допускается ввод только неотрицательных целых чисел!" sqref="AF295">
      <formula1>0</formula1>
      <formula2>9.99999999999999E+23</formula2>
    </dataValidation>
    <dataValidation type="whole" allowBlank="1" showErrorMessage="1" errorTitle="Ошибка" error="Допускается ввод только неотрицательных целых чисел!" sqref="AI2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6">
      <formula1>"a"</formula1>
    </dataValidation>
    <dataValidation type="textLength" operator="lessThanOrEqual" allowBlank="1" showInputMessage="1" showErrorMessage="1" errorTitle="Ошибка" error="Допускается ввод не более 900 символов!" sqref="K296">
      <formula1>900</formula1>
    </dataValidation>
    <dataValidation type="textLength" operator="lessThanOrEqual" allowBlank="1" showInputMessage="1" showErrorMessage="1" errorTitle="Ошибка" error="Допускается ввод не более 900 символов!" sqref="M296">
      <formula1>900</formula1>
    </dataValidation>
    <dataValidation type="whole" allowBlank="1" showErrorMessage="1" errorTitle="Ошибка" error="Допускается ввод только неотрицательных целых чисел!" sqref="AF296">
      <formula1>0</formula1>
      <formula2>9.99999999999999E+23</formula2>
    </dataValidation>
    <dataValidation type="whole" allowBlank="1" showErrorMessage="1" errorTitle="Ошибка" error="Допускается ввод только неотрицательных целых чисел!" sqref="AI2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7">
      <formula1>"a"</formula1>
    </dataValidation>
    <dataValidation type="textLength" operator="lessThanOrEqual" allowBlank="1" showInputMessage="1" showErrorMessage="1" errorTitle="Ошибка" error="Допускается ввод не более 900 символов!" sqref="K297">
      <formula1>900</formula1>
    </dataValidation>
    <dataValidation type="whole" allowBlank="1" showErrorMessage="1" errorTitle="Ошибка" error="Допускается ввод только неотрицательных целых чисел!" sqref="AF297">
      <formula1>0</formula1>
      <formula2>9.99999999999999E+23</formula2>
    </dataValidation>
    <dataValidation type="whole" allowBlank="1" showErrorMessage="1" errorTitle="Ошибка" error="Допускается ввод только неотрицательных целых чисел!" sqref="AI2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8">
      <formula1>"a"</formula1>
    </dataValidation>
    <dataValidation type="textLength" operator="lessThanOrEqual" allowBlank="1" showInputMessage="1" showErrorMessage="1" errorTitle="Ошибка" error="Допускается ввод не более 900 символов!" sqref="K298">
      <formula1>900</formula1>
    </dataValidation>
    <dataValidation type="decimal" allowBlank="1" showErrorMessage="1" errorTitle="Ошибка" error="Допускается ввод только неотрицательных чисел!" sqref="AC298">
      <formula1>0</formula1>
      <formula2>9.99999999999999E+23</formula2>
    </dataValidation>
    <dataValidation type="decimal" allowBlank="1" showErrorMessage="1" errorTitle="Ошибка" error="Допускается ввод только неотрицательных чисел!" sqref="AE298">
      <formula1>0</formula1>
      <formula2>9.99999999999999E+23</formula2>
    </dataValidation>
    <dataValidation type="whole" allowBlank="1" showErrorMessage="1" errorTitle="Ошибка" error="Допускается ввод только неотрицательных целых чисел!" sqref="AF298">
      <formula1>0</formula1>
      <formula2>9.99999999999999E+23</formula2>
    </dataValidation>
    <dataValidation type="whole" allowBlank="1" showErrorMessage="1" errorTitle="Ошибка" error="Допускается ввод только неотрицательных целых чисел!" sqref="AI2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0">
      <formula1>"a"</formula1>
    </dataValidation>
    <dataValidation type="textLength" operator="lessThanOrEqual" allowBlank="1" showInputMessage="1" showErrorMessage="1" errorTitle="Ошибка" error="Допускается ввод не более 900 символов!" sqref="K300">
      <formula1>900</formula1>
    </dataValidation>
    <dataValidation type="whole" allowBlank="1" showErrorMessage="1" errorTitle="Ошибка" error="Допускается ввод только неотрицательных целых чисел!" sqref="AF300">
      <formula1>0</formula1>
      <formula2>9.99999999999999E+23</formula2>
    </dataValidation>
    <dataValidation type="whole" allowBlank="1" showErrorMessage="1" errorTitle="Ошибка" error="Допускается ввод только неотрицательных целых чисел!" sqref="AI300">
      <formula1>0</formula1>
      <formula2>9.99999999999999E+23</formula2>
    </dataValidation>
    <dataValidation type="whole" allowBlank="1" showErrorMessage="1" errorTitle="Ошибка" error="Допускается ввод только неотрицательных целых чисел!" sqref="AF301">
      <formula1>0</formula1>
      <formula2>9.99999999999999E+23</formula2>
    </dataValidation>
    <dataValidation type="whole" allowBlank="1" showErrorMessage="1" errorTitle="Ошибка" error="Допускается ввод только неотрицательных целых чисел!" sqref="AI3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2">
      <formula1>"a"</formula1>
    </dataValidation>
    <dataValidation type="textLength" operator="lessThanOrEqual" allowBlank="1" showInputMessage="1" showErrorMessage="1" errorTitle="Ошибка" error="Допускается ввод не более 900 символов!" sqref="K302">
      <formula1>900</formula1>
    </dataValidation>
    <dataValidation type="textLength" operator="lessThanOrEqual" allowBlank="1" showInputMessage="1" showErrorMessage="1" errorTitle="Ошибка" error="Допускается ввод не более 900 символов!" sqref="M302">
      <formula1>900</formula1>
    </dataValidation>
    <dataValidation type="whole" allowBlank="1" showErrorMessage="1" errorTitle="Ошибка" error="Допускается ввод только неотрицательных целых чисел!" sqref="AF302">
      <formula1>0</formula1>
      <formula2>9.99999999999999E+23</formula2>
    </dataValidation>
    <dataValidation type="whole" allowBlank="1" showErrorMessage="1" errorTitle="Ошибка" error="Допускается ввод только неотрицательных целых чисел!" sqref="AI3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3">
      <formula1>"a"</formula1>
    </dataValidation>
    <dataValidation type="textLength" operator="lessThanOrEqual" allowBlank="1" showInputMessage="1" showErrorMessage="1" errorTitle="Ошибка" error="Допускается ввод не более 900 символов!" sqref="K303">
      <formula1>900</formula1>
    </dataValidation>
    <dataValidation type="whole" allowBlank="1" showErrorMessage="1" errorTitle="Ошибка" error="Допускается ввод только неотрицательных целых чисел!" sqref="AF303">
      <formula1>0</formula1>
      <formula2>9.99999999999999E+23</formula2>
    </dataValidation>
    <dataValidation type="whole" allowBlank="1" showErrorMessage="1" errorTitle="Ошибка" error="Допускается ввод только неотрицательных целых чисел!" sqref="AI3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4">
      <formula1>"a"</formula1>
    </dataValidation>
    <dataValidation type="textLength" operator="lessThanOrEqual" allowBlank="1" showInputMessage="1" showErrorMessage="1" errorTitle="Ошибка" error="Допускается ввод не более 900 символов!" sqref="K304">
      <formula1>900</formula1>
    </dataValidation>
    <dataValidation type="decimal" allowBlank="1" showErrorMessage="1" errorTitle="Ошибка" error="Допускается ввод только неотрицательных чисел!" sqref="AC304">
      <formula1>0</formula1>
      <formula2>9.99999999999999E+23</formula2>
    </dataValidation>
    <dataValidation type="decimal" allowBlank="1" showErrorMessage="1" errorTitle="Ошибка" error="Допускается ввод только неотрицательных чисел!" sqref="AE304">
      <formula1>0</formula1>
      <formula2>9.99999999999999E+23</formula2>
    </dataValidation>
    <dataValidation type="whole" allowBlank="1" showErrorMessage="1" errorTitle="Ошибка" error="Допускается ввод только неотрицательных целых чисел!" sqref="AF304">
      <formula1>0</formula1>
      <formula2>9.99999999999999E+23</formula2>
    </dataValidation>
    <dataValidation type="whole" allowBlank="1" showErrorMessage="1" errorTitle="Ошибка" error="Допускается ввод только неотрицательных целых чисел!" sqref="AI3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6">
      <formula1>"a"</formula1>
    </dataValidation>
    <dataValidation type="textLength" operator="lessThanOrEqual" allowBlank="1" showInputMessage="1" showErrorMessage="1" errorTitle="Ошибка" error="Допускается ввод не более 900 символов!" sqref="K306">
      <formula1>900</formula1>
    </dataValidation>
    <dataValidation type="whole" allowBlank="1" showErrorMessage="1" errorTitle="Ошибка" error="Допускается ввод только неотрицательных целых чисел!" sqref="AF306">
      <formula1>0</formula1>
      <formula2>9.99999999999999E+23</formula2>
    </dataValidation>
    <dataValidation type="whole" allowBlank="1" showErrorMessage="1" errorTitle="Ошибка" error="Допускается ввод только неотрицательных целых чисел!" sqref="AI306">
      <formula1>0</formula1>
      <formula2>9.99999999999999E+23</formula2>
    </dataValidation>
    <dataValidation type="whole" allowBlank="1" showErrorMessage="1" errorTitle="Ошибка" error="Допускается ввод только неотрицательных целых чисел!" sqref="AF307">
      <formula1>0</formula1>
      <formula2>9.99999999999999E+23</formula2>
    </dataValidation>
    <dataValidation type="whole" allowBlank="1" showErrorMessage="1" errorTitle="Ошибка" error="Допускается ввод только неотрицательных целых чисел!" sqref="AI3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8">
      <formula1>"a"</formula1>
    </dataValidation>
    <dataValidation type="textLength" operator="lessThanOrEqual" allowBlank="1" showInputMessage="1" showErrorMessage="1" errorTitle="Ошибка" error="Допускается ввод не более 900 символов!" sqref="K308">
      <formula1>900</formula1>
    </dataValidation>
    <dataValidation type="textLength" operator="lessThanOrEqual" allowBlank="1" showInputMessage="1" showErrorMessage="1" errorTitle="Ошибка" error="Допускается ввод не более 900 символов!" sqref="M308">
      <formula1>900</formula1>
    </dataValidation>
    <dataValidation type="whole" allowBlank="1" showErrorMessage="1" errorTitle="Ошибка" error="Допускается ввод только неотрицательных целых чисел!" sqref="AF308">
      <formula1>0</formula1>
      <formula2>9.99999999999999E+23</formula2>
    </dataValidation>
    <dataValidation type="whole" allowBlank="1" showErrorMessage="1" errorTitle="Ошибка" error="Допускается ввод только неотрицательных целых чисел!" sqref="AI3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9">
      <formula1>"a"</formula1>
    </dataValidation>
    <dataValidation type="textLength" operator="lessThanOrEqual" allowBlank="1" showInputMessage="1" showErrorMessage="1" errorTitle="Ошибка" error="Допускается ввод не более 900 символов!" sqref="K309">
      <formula1>900</formula1>
    </dataValidation>
    <dataValidation type="whole" allowBlank="1" showErrorMessage="1" errorTitle="Ошибка" error="Допускается ввод только неотрицательных целых чисел!" sqref="AF309">
      <formula1>0</formula1>
      <formula2>9.99999999999999E+23</formula2>
    </dataValidation>
    <dataValidation type="whole" allowBlank="1" showErrorMessage="1" errorTitle="Ошибка" error="Допускается ввод только неотрицательных целых чисел!" sqref="AI3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0">
      <formula1>"a"</formula1>
    </dataValidation>
    <dataValidation type="textLength" operator="lessThanOrEqual" allowBlank="1" showInputMessage="1" showErrorMessage="1" errorTitle="Ошибка" error="Допускается ввод не более 900 символов!" sqref="K310">
      <formula1>900</formula1>
    </dataValidation>
    <dataValidation type="decimal" allowBlank="1" showErrorMessage="1" errorTitle="Ошибка" error="Допускается ввод только неотрицательных чисел!" sqref="AC310">
      <formula1>0</formula1>
      <formula2>9.99999999999999E+23</formula2>
    </dataValidation>
    <dataValidation type="decimal" allowBlank="1" showErrorMessage="1" errorTitle="Ошибка" error="Допускается ввод только неотрицательных чисел!" sqref="AE310">
      <formula1>0</formula1>
      <formula2>9.99999999999999E+23</formula2>
    </dataValidation>
    <dataValidation type="whole" allowBlank="1" showErrorMessage="1" errorTitle="Ошибка" error="Допускается ввод только неотрицательных целых чисел!" sqref="AF310">
      <formula1>0</formula1>
      <formula2>9.99999999999999E+23</formula2>
    </dataValidation>
    <dataValidation type="whole" allowBlank="1" showErrorMessage="1" errorTitle="Ошибка" error="Допускается ввод только неотрицательных целых чисел!" sqref="AI31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2">
      <formula1>"a"</formula1>
    </dataValidation>
    <dataValidation type="textLength" operator="lessThanOrEqual" allowBlank="1" showInputMessage="1" showErrorMessage="1" errorTitle="Ошибка" error="Допускается ввод не более 900 символов!" sqref="K312">
      <formula1>900</formula1>
    </dataValidation>
    <dataValidation type="whole" allowBlank="1" showErrorMessage="1" errorTitle="Ошибка" error="Допускается ввод только неотрицательных целых чисел!" sqref="AF312">
      <formula1>0</formula1>
      <formula2>9.99999999999999E+23</formula2>
    </dataValidation>
    <dataValidation type="whole" allowBlank="1" showErrorMessage="1" errorTitle="Ошибка" error="Допускается ввод только неотрицательных целых чисел!" sqref="AI312">
      <formula1>0</formula1>
      <formula2>9.99999999999999E+23</formula2>
    </dataValidation>
    <dataValidation type="whole" allowBlank="1" showErrorMessage="1" errorTitle="Ошибка" error="Допускается ввод только неотрицательных целых чисел!" sqref="AF313">
      <formula1>0</formula1>
      <formula2>9.99999999999999E+23</formula2>
    </dataValidation>
    <dataValidation type="whole" allowBlank="1" showErrorMessage="1" errorTitle="Ошибка" error="Допускается ввод только неотрицательных целых чисел!" sqref="AI3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4">
      <formula1>"a"</formula1>
    </dataValidation>
    <dataValidation type="textLength" operator="lessThanOrEqual" allowBlank="1" showInputMessage="1" showErrorMessage="1" errorTitle="Ошибка" error="Допускается ввод не более 900 символов!" sqref="K314">
      <formula1>900</formula1>
    </dataValidation>
    <dataValidation type="textLength" operator="lessThanOrEqual" allowBlank="1" showInputMessage="1" showErrorMessage="1" errorTitle="Ошибка" error="Допускается ввод не более 900 символов!" sqref="M314">
      <formula1>900</formula1>
    </dataValidation>
    <dataValidation type="whole" allowBlank="1" showErrorMessage="1" errorTitle="Ошибка" error="Допускается ввод только неотрицательных целых чисел!" sqref="AF314">
      <formula1>0</formula1>
      <formula2>9.99999999999999E+23</formula2>
    </dataValidation>
    <dataValidation type="whole" allowBlank="1" showErrorMessage="1" errorTitle="Ошибка" error="Допускается ввод только неотрицательных целых чисел!" sqref="AI3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5">
      <formula1>"a"</formula1>
    </dataValidation>
    <dataValidation type="textLength" operator="lessThanOrEqual" allowBlank="1" showInputMessage="1" showErrorMessage="1" errorTitle="Ошибка" error="Допускается ввод не более 900 символов!" sqref="K315">
      <formula1>900</formula1>
    </dataValidation>
    <dataValidation type="whole" allowBlank="1" showErrorMessage="1" errorTitle="Ошибка" error="Допускается ввод только неотрицательных целых чисел!" sqref="AF315">
      <formula1>0</formula1>
      <formula2>9.99999999999999E+23</formula2>
    </dataValidation>
    <dataValidation type="whole" allowBlank="1" showErrorMessage="1" errorTitle="Ошибка" error="Допускается ввод только неотрицательных целых чисел!" sqref="AI3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6">
      <formula1>"a"</formula1>
    </dataValidation>
    <dataValidation type="textLength" operator="lessThanOrEqual" allowBlank="1" showInputMessage="1" showErrorMessage="1" errorTitle="Ошибка" error="Допускается ввод не более 900 символов!" sqref="K316">
      <formula1>900</formula1>
    </dataValidation>
    <dataValidation type="decimal" allowBlank="1" showErrorMessage="1" errorTitle="Ошибка" error="Допускается ввод только неотрицательных чисел!" sqref="AC316">
      <formula1>0</formula1>
      <formula2>9.99999999999999E+23</formula2>
    </dataValidation>
    <dataValidation type="decimal" allowBlank="1" showErrorMessage="1" errorTitle="Ошибка" error="Допускается ввод только неотрицательных чисел!" sqref="AE316">
      <formula1>0</formula1>
      <formula2>9.99999999999999E+23</formula2>
    </dataValidation>
    <dataValidation type="whole" allowBlank="1" showErrorMessage="1" errorTitle="Ошибка" error="Допускается ввод только неотрицательных целых чисел!" sqref="AF316">
      <formula1>0</formula1>
      <formula2>9.99999999999999E+23</formula2>
    </dataValidation>
    <dataValidation type="whole" allowBlank="1" showErrorMessage="1" errorTitle="Ошибка" error="Допускается ввод только неотрицательных целых чисел!" sqref="AI3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8">
      <formula1>"a"</formula1>
    </dataValidation>
    <dataValidation type="textLength" operator="lessThanOrEqual" allowBlank="1" showInputMessage="1" showErrorMessage="1" errorTitle="Ошибка" error="Допускается ввод не более 900 символов!" sqref="K318">
      <formula1>900</formula1>
    </dataValidation>
    <dataValidation type="whole" allowBlank="1" showErrorMessage="1" errorTitle="Ошибка" error="Допускается ввод только неотрицательных целых чисел!" sqref="AF318">
      <formula1>0</formula1>
      <formula2>9.99999999999999E+23</formula2>
    </dataValidation>
    <dataValidation type="whole" allowBlank="1" showErrorMessage="1" errorTitle="Ошибка" error="Допускается ввод только неотрицательных целых чисел!" sqref="AI318">
      <formula1>0</formula1>
      <formula2>9.99999999999999E+23</formula2>
    </dataValidation>
    <dataValidation type="whole" allowBlank="1" showErrorMessage="1" errorTitle="Ошибка" error="Допускается ввод только неотрицательных целых чисел!" sqref="AF319">
      <formula1>0</formula1>
      <formula2>9.99999999999999E+23</formula2>
    </dataValidation>
    <dataValidation type="whole" allowBlank="1" showErrorMessage="1" errorTitle="Ошибка" error="Допускается ввод только неотрицательных целых чисел!" sqref="AI3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0">
      <formula1>"a"</formula1>
    </dataValidation>
    <dataValidation type="textLength" operator="lessThanOrEqual" allowBlank="1" showInputMessage="1" showErrorMessage="1" errorTitle="Ошибка" error="Допускается ввод не более 900 символов!" sqref="K320">
      <formula1>900</formula1>
    </dataValidation>
    <dataValidation type="textLength" operator="lessThanOrEqual" allowBlank="1" showInputMessage="1" showErrorMessage="1" errorTitle="Ошибка" error="Допускается ввод не более 900 символов!" sqref="M320">
      <formula1>900</formula1>
    </dataValidation>
    <dataValidation type="whole" allowBlank="1" showErrorMessage="1" errorTitle="Ошибка" error="Допускается ввод только неотрицательных целых чисел!" sqref="AF320">
      <formula1>0</formula1>
      <formula2>9.99999999999999E+23</formula2>
    </dataValidation>
    <dataValidation type="whole" allowBlank="1" showErrorMessage="1" errorTitle="Ошибка" error="Допускается ввод только неотрицательных целых чисел!" sqref="AI3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1">
      <formula1>"a"</formula1>
    </dataValidation>
    <dataValidation type="textLength" operator="lessThanOrEqual" allowBlank="1" showInputMessage="1" showErrorMessage="1" errorTitle="Ошибка" error="Допускается ввод не более 900 символов!" sqref="K321">
      <formula1>900</formula1>
    </dataValidation>
    <dataValidation type="whole" allowBlank="1" showErrorMessage="1" errorTitle="Ошибка" error="Допускается ввод только неотрицательных целых чисел!" sqref="AF321">
      <formula1>0</formula1>
      <formula2>9.99999999999999E+23</formula2>
    </dataValidation>
    <dataValidation type="whole" allowBlank="1" showErrorMessage="1" errorTitle="Ошибка" error="Допускается ввод только неотрицательных целых чисел!" sqref="AI3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2">
      <formula1>"a"</formula1>
    </dataValidation>
    <dataValidation type="textLength" operator="lessThanOrEqual" allowBlank="1" showInputMessage="1" showErrorMessage="1" errorTitle="Ошибка" error="Допускается ввод не более 900 символов!" sqref="K322">
      <formula1>900</formula1>
    </dataValidation>
    <dataValidation type="decimal" allowBlank="1" showErrorMessage="1" errorTitle="Ошибка" error="Допускается ввод только неотрицательных чисел!" sqref="AC322">
      <formula1>0</formula1>
      <formula2>9.99999999999999E+23</formula2>
    </dataValidation>
    <dataValidation type="decimal" allowBlank="1" showErrorMessage="1" errorTitle="Ошибка" error="Допускается ввод только неотрицательных чисел!" sqref="AE322">
      <formula1>0</formula1>
      <formula2>9.99999999999999E+23</formula2>
    </dataValidation>
    <dataValidation type="whole" allowBlank="1" showErrorMessage="1" errorTitle="Ошибка" error="Допускается ввод только неотрицательных целых чисел!" sqref="AF322">
      <formula1>0</formula1>
      <formula2>9.99999999999999E+23</formula2>
    </dataValidation>
    <dataValidation type="whole" allowBlank="1" showErrorMessage="1" errorTitle="Ошибка" error="Допускается ввод только неотрицательных целых чисел!" sqref="AI3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4">
      <formula1>"a"</formula1>
    </dataValidation>
    <dataValidation type="textLength" operator="lessThanOrEqual" allowBlank="1" showInputMessage="1" showErrorMessage="1" errorTitle="Ошибка" error="Допускается ввод не более 900 символов!" sqref="K324">
      <formula1>900</formula1>
    </dataValidation>
    <dataValidation type="whole" allowBlank="1" showErrorMessage="1" errorTitle="Ошибка" error="Допускается ввод только неотрицательных целых чисел!" sqref="AF324">
      <formula1>0</formula1>
      <formula2>9.99999999999999E+23</formula2>
    </dataValidation>
    <dataValidation type="whole" allowBlank="1" showErrorMessage="1" errorTitle="Ошибка" error="Допускается ввод только неотрицательных целых чисел!" sqref="AI324">
      <formula1>0</formula1>
      <formula2>9.99999999999999E+23</formula2>
    </dataValidation>
    <dataValidation type="whole" allowBlank="1" showErrorMessage="1" errorTitle="Ошибка" error="Допускается ввод только неотрицательных целых чисел!" sqref="AF325">
      <formula1>0</formula1>
      <formula2>9.99999999999999E+23</formula2>
    </dataValidation>
    <dataValidation type="whole" allowBlank="1" showErrorMessage="1" errorTitle="Ошибка" error="Допускается ввод только неотрицательных целых чисел!" sqref="AI3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6">
      <formula1>"a"</formula1>
    </dataValidation>
    <dataValidation type="textLength" operator="lessThanOrEqual" allowBlank="1" showInputMessage="1" showErrorMessage="1" errorTitle="Ошибка" error="Допускается ввод не более 900 символов!" sqref="K326">
      <formula1>900</formula1>
    </dataValidation>
    <dataValidation type="textLength" operator="lessThanOrEqual" allowBlank="1" showInputMessage="1" showErrorMessage="1" errorTitle="Ошибка" error="Допускается ввод не более 900 символов!" sqref="M326">
      <formula1>900</formula1>
    </dataValidation>
    <dataValidation type="whole" allowBlank="1" showErrorMessage="1" errorTitle="Ошибка" error="Допускается ввод только неотрицательных целых чисел!" sqref="AF326">
      <formula1>0</formula1>
      <formula2>9.99999999999999E+23</formula2>
    </dataValidation>
    <dataValidation type="whole" allowBlank="1" showErrorMessage="1" errorTitle="Ошибка" error="Допускается ввод только неотрицательных целых чисел!" sqref="AI3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7">
      <formula1>"a"</formula1>
    </dataValidation>
    <dataValidation type="textLength" operator="lessThanOrEqual" allowBlank="1" showInputMessage="1" showErrorMessage="1" errorTitle="Ошибка" error="Допускается ввод не более 900 символов!" sqref="K327">
      <formula1>900</formula1>
    </dataValidation>
    <dataValidation type="whole" allowBlank="1" showErrorMessage="1" errorTitle="Ошибка" error="Допускается ввод только неотрицательных целых чисел!" sqref="AF327">
      <formula1>0</formula1>
      <formula2>9.99999999999999E+23</formula2>
    </dataValidation>
    <dataValidation type="whole" allowBlank="1" showErrorMessage="1" errorTitle="Ошибка" error="Допускается ввод только неотрицательных целых чисел!" sqref="AI3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8">
      <formula1>"a"</formula1>
    </dataValidation>
    <dataValidation type="textLength" operator="lessThanOrEqual" allowBlank="1" showInputMessage="1" showErrorMessage="1" errorTitle="Ошибка" error="Допускается ввод не более 900 символов!" sqref="K328">
      <formula1>900</formula1>
    </dataValidation>
    <dataValidation type="decimal" allowBlank="1" showErrorMessage="1" errorTitle="Ошибка" error="Допускается ввод только неотрицательных чисел!" sqref="AC328">
      <formula1>0</formula1>
      <formula2>9.99999999999999E+23</formula2>
    </dataValidation>
    <dataValidation type="decimal" allowBlank="1" showErrorMessage="1" errorTitle="Ошибка" error="Допускается ввод только неотрицательных чисел!" sqref="AE328">
      <formula1>0</formula1>
      <formula2>9.99999999999999E+23</formula2>
    </dataValidation>
    <dataValidation type="whole" allowBlank="1" showErrorMessage="1" errorTitle="Ошибка" error="Допускается ввод только неотрицательных целых чисел!" sqref="AF328">
      <formula1>0</formula1>
      <formula2>9.99999999999999E+23</formula2>
    </dataValidation>
    <dataValidation type="whole" allowBlank="1" showErrorMessage="1" errorTitle="Ошибка" error="Допускается ввод только неотрицательных целых чисел!" sqref="AI3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0">
      <formula1>"a"</formula1>
    </dataValidation>
    <dataValidation type="textLength" operator="lessThanOrEqual" allowBlank="1" showInputMessage="1" showErrorMessage="1" errorTitle="Ошибка" error="Допускается ввод не более 900 символов!" sqref="K330">
      <formula1>900</formula1>
    </dataValidation>
    <dataValidation type="whole" allowBlank="1" showErrorMessage="1" errorTitle="Ошибка" error="Допускается ввод только неотрицательных целых чисел!" sqref="AF330">
      <formula1>0</formula1>
      <formula2>9.99999999999999E+23</formula2>
    </dataValidation>
    <dataValidation type="whole" allowBlank="1" showErrorMessage="1" errorTitle="Ошибка" error="Допускается ввод только неотрицательных целых чисел!" sqref="AI330">
      <formula1>0</formula1>
      <formula2>9.99999999999999E+23</formula2>
    </dataValidation>
    <dataValidation type="whole" allowBlank="1" showErrorMessage="1" errorTitle="Ошибка" error="Допускается ввод только неотрицательных целых чисел!" sqref="AF331">
      <formula1>0</formula1>
      <formula2>9.99999999999999E+23</formula2>
    </dataValidation>
    <dataValidation type="whole" allowBlank="1" showErrorMessage="1" errorTitle="Ошибка" error="Допускается ввод только неотрицательных целых чисел!" sqref="AI3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2">
      <formula1>"a"</formula1>
    </dataValidation>
    <dataValidation type="textLength" operator="lessThanOrEqual" allowBlank="1" showInputMessage="1" showErrorMessage="1" errorTitle="Ошибка" error="Допускается ввод не более 900 символов!" sqref="K332">
      <formula1>900</formula1>
    </dataValidation>
    <dataValidation type="textLength" operator="lessThanOrEqual" allowBlank="1" showInputMessage="1" showErrorMessage="1" errorTitle="Ошибка" error="Допускается ввод не более 900 символов!" sqref="M332">
      <formula1>900</formula1>
    </dataValidation>
    <dataValidation type="whole" allowBlank="1" showErrorMessage="1" errorTitle="Ошибка" error="Допускается ввод только неотрицательных целых чисел!" sqref="AF332">
      <formula1>0</formula1>
      <formula2>9.99999999999999E+23</formula2>
    </dataValidation>
    <dataValidation type="whole" allowBlank="1" showErrorMessage="1" errorTitle="Ошибка" error="Допускается ввод только неотрицательных целых чисел!" sqref="AI3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3">
      <formula1>"a"</formula1>
    </dataValidation>
    <dataValidation type="textLength" operator="lessThanOrEqual" allowBlank="1" showInputMessage="1" showErrorMessage="1" errorTitle="Ошибка" error="Допускается ввод не более 900 символов!" sqref="K333">
      <formula1>900</formula1>
    </dataValidation>
    <dataValidation type="whole" allowBlank="1" showErrorMessage="1" errorTitle="Ошибка" error="Допускается ввод только неотрицательных целых чисел!" sqref="AF333">
      <formula1>0</formula1>
      <formula2>9.99999999999999E+23</formula2>
    </dataValidation>
    <dataValidation type="whole" allowBlank="1" showErrorMessage="1" errorTitle="Ошибка" error="Допускается ввод только неотрицательных целых чисел!" sqref="AI3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4">
      <formula1>"a"</formula1>
    </dataValidation>
    <dataValidation type="textLength" operator="lessThanOrEqual" allowBlank="1" showInputMessage="1" showErrorMessage="1" errorTitle="Ошибка" error="Допускается ввод не более 900 символов!" sqref="K334">
      <formula1>900</formula1>
    </dataValidation>
    <dataValidation type="decimal" allowBlank="1" showErrorMessage="1" errorTitle="Ошибка" error="Допускается ввод только неотрицательных чисел!" sqref="AC334">
      <formula1>0</formula1>
      <formula2>9.99999999999999E+23</formula2>
    </dataValidation>
    <dataValidation type="decimal" allowBlank="1" showErrorMessage="1" errorTitle="Ошибка" error="Допускается ввод только неотрицательных чисел!" sqref="AE334">
      <formula1>0</formula1>
      <formula2>9.99999999999999E+23</formula2>
    </dataValidation>
    <dataValidation type="whole" allowBlank="1" showErrorMessage="1" errorTitle="Ошибка" error="Допускается ввод только неотрицательных целых чисел!" sqref="AF334">
      <formula1>0</formula1>
      <formula2>9.99999999999999E+23</formula2>
    </dataValidation>
    <dataValidation type="whole" allowBlank="1" showErrorMessage="1" errorTitle="Ошибка" error="Допускается ввод только неотрицательных целых чисел!" sqref="AI3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6">
      <formula1>"a"</formula1>
    </dataValidation>
    <dataValidation type="textLength" operator="lessThanOrEqual" allowBlank="1" showInputMessage="1" showErrorMessage="1" errorTitle="Ошибка" error="Допускается ввод не более 900 символов!" sqref="K336">
      <formula1>900</formula1>
    </dataValidation>
    <dataValidation type="whole" allowBlank="1" showErrorMessage="1" errorTitle="Ошибка" error="Допускается ввод только неотрицательных целых чисел!" sqref="AF336">
      <formula1>0</formula1>
      <formula2>9.99999999999999E+23</formula2>
    </dataValidation>
    <dataValidation type="whole" allowBlank="1" showErrorMessage="1" errorTitle="Ошибка" error="Допускается ввод только неотрицательных целых чисел!" sqref="AI336">
      <formula1>0</formula1>
      <formula2>9.99999999999999E+23</formula2>
    </dataValidation>
    <dataValidation type="whole" allowBlank="1" showErrorMessage="1" errorTitle="Ошибка" error="Допускается ввод только неотрицательных целых чисел!" sqref="AF337">
      <formula1>0</formula1>
      <formula2>9.99999999999999E+23</formula2>
    </dataValidation>
    <dataValidation type="whole" allowBlank="1" showErrorMessage="1" errorTitle="Ошибка" error="Допускается ввод только неотрицательных целых чисел!" sqref="AI3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8">
      <formula1>"a"</formula1>
    </dataValidation>
    <dataValidation type="textLength" operator="lessThanOrEqual" allowBlank="1" showInputMessage="1" showErrorMessage="1" errorTitle="Ошибка" error="Допускается ввод не более 900 символов!" sqref="K338">
      <formula1>900</formula1>
    </dataValidation>
    <dataValidation type="textLength" operator="lessThanOrEqual" allowBlank="1" showInputMessage="1" showErrorMessage="1" errorTitle="Ошибка" error="Допускается ввод не более 900 символов!" sqref="M338">
      <formula1>900</formula1>
    </dataValidation>
    <dataValidation type="whole" allowBlank="1" showErrorMessage="1" errorTitle="Ошибка" error="Допускается ввод только неотрицательных целых чисел!" sqref="AF338">
      <formula1>0</formula1>
      <formula2>9.99999999999999E+23</formula2>
    </dataValidation>
    <dataValidation type="whole" allowBlank="1" showErrorMessage="1" errorTitle="Ошибка" error="Допускается ввод только неотрицательных целых чисел!" sqref="AI3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9">
      <formula1>"a"</formula1>
    </dataValidation>
    <dataValidation type="textLength" operator="lessThanOrEqual" allowBlank="1" showInputMessage="1" showErrorMessage="1" errorTitle="Ошибка" error="Допускается ввод не более 900 символов!" sqref="K339">
      <formula1>900</formula1>
    </dataValidation>
    <dataValidation type="whole" allowBlank="1" showErrorMessage="1" errorTitle="Ошибка" error="Допускается ввод только неотрицательных целых чисел!" sqref="AF339">
      <formula1>0</formula1>
      <formula2>9.99999999999999E+23</formula2>
    </dataValidation>
    <dataValidation type="whole" allowBlank="1" showErrorMessage="1" errorTitle="Ошибка" error="Допускается ввод только неотрицательных целых чисел!" sqref="AI3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0">
      <formula1>"a"</formula1>
    </dataValidation>
    <dataValidation type="textLength" operator="lessThanOrEqual" allowBlank="1" showInputMessage="1" showErrorMessage="1" errorTitle="Ошибка" error="Допускается ввод не более 900 символов!" sqref="K340">
      <formula1>900</formula1>
    </dataValidation>
    <dataValidation type="decimal" allowBlank="1" showErrorMessage="1" errorTitle="Ошибка" error="Допускается ввод только неотрицательных чисел!" sqref="AC340">
      <formula1>0</formula1>
      <formula2>9.99999999999999E+23</formula2>
    </dataValidation>
    <dataValidation type="decimal" allowBlank="1" showErrorMessage="1" errorTitle="Ошибка" error="Допускается ввод только неотрицательных чисел!" sqref="AE340">
      <formula1>0</formula1>
      <formula2>9.99999999999999E+23</formula2>
    </dataValidation>
    <dataValidation type="whole" allowBlank="1" showErrorMessage="1" errorTitle="Ошибка" error="Допускается ввод только неотрицательных целых чисел!" sqref="AF340">
      <formula1>0</formula1>
      <formula2>9.99999999999999E+23</formula2>
    </dataValidation>
    <dataValidation type="whole" allowBlank="1" showErrorMessage="1" errorTitle="Ошибка" error="Допускается ввод только неотрицательных целых чисел!" sqref="AI3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2">
      <formula1>"a"</formula1>
    </dataValidation>
    <dataValidation type="textLength" operator="lessThanOrEqual" allowBlank="1" showInputMessage="1" showErrorMessage="1" errorTitle="Ошибка" error="Допускается ввод не более 900 символов!" sqref="K342">
      <formula1>900</formula1>
    </dataValidation>
    <dataValidation type="whole" allowBlank="1" showErrorMessage="1" errorTitle="Ошибка" error="Допускается ввод только неотрицательных целых чисел!" sqref="AF342">
      <formula1>0</formula1>
      <formula2>9.99999999999999E+23</formula2>
    </dataValidation>
    <dataValidation type="whole" allowBlank="1" showErrorMessage="1" errorTitle="Ошибка" error="Допускается ввод только неотрицательных целых чисел!" sqref="AI342">
      <formula1>0</formula1>
      <formula2>9.99999999999999E+23</formula2>
    </dataValidation>
    <dataValidation type="whole" allowBlank="1" showErrorMessage="1" errorTitle="Ошибка" error="Допускается ввод только неотрицательных целых чисел!" sqref="AF343">
      <formula1>0</formula1>
      <formula2>9.99999999999999E+23</formula2>
    </dataValidation>
    <dataValidation type="whole" allowBlank="1" showErrorMessage="1" errorTitle="Ошибка" error="Допускается ввод только неотрицательных целых чисел!" sqref="AI3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4">
      <formula1>"a"</formula1>
    </dataValidation>
    <dataValidation type="textLength" operator="lessThanOrEqual" allowBlank="1" showInputMessage="1" showErrorMessage="1" errorTitle="Ошибка" error="Допускается ввод не более 900 символов!" sqref="K344">
      <formula1>900</formula1>
    </dataValidation>
    <dataValidation type="textLength" operator="lessThanOrEqual" allowBlank="1" showInputMessage="1" showErrorMessage="1" errorTitle="Ошибка" error="Допускается ввод не более 900 символов!" sqref="M344">
      <formula1>900</formula1>
    </dataValidation>
    <dataValidation type="whole" allowBlank="1" showErrorMessage="1" errorTitle="Ошибка" error="Допускается ввод только неотрицательных целых чисел!" sqref="AF344">
      <formula1>0</formula1>
      <formula2>9.99999999999999E+23</formula2>
    </dataValidation>
    <dataValidation type="whole" allowBlank="1" showErrorMessage="1" errorTitle="Ошибка" error="Допускается ввод только неотрицательных целых чисел!" sqref="AI3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5">
      <formula1>"a"</formula1>
    </dataValidation>
    <dataValidation type="textLength" operator="lessThanOrEqual" allowBlank="1" showInputMessage="1" showErrorMessage="1" errorTitle="Ошибка" error="Допускается ввод не более 900 символов!" sqref="K345">
      <formula1>900</formula1>
    </dataValidation>
    <dataValidation type="whole" allowBlank="1" showErrorMessage="1" errorTitle="Ошибка" error="Допускается ввод только неотрицательных целых чисел!" sqref="AF345">
      <formula1>0</formula1>
      <formula2>9.99999999999999E+23</formula2>
    </dataValidation>
    <dataValidation type="whole" allowBlank="1" showErrorMessage="1" errorTitle="Ошибка" error="Допускается ввод только неотрицательных целых чисел!" sqref="AI3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6">
      <formula1>"a"</formula1>
    </dataValidation>
    <dataValidation type="textLength" operator="lessThanOrEqual" allowBlank="1" showInputMessage="1" showErrorMessage="1" errorTitle="Ошибка" error="Допускается ввод не более 900 символов!" sqref="K346">
      <formula1>900</formula1>
    </dataValidation>
    <dataValidation type="decimal" allowBlank="1" showErrorMessage="1" errorTitle="Ошибка" error="Допускается ввод только неотрицательных чисел!" sqref="AC346">
      <formula1>0</formula1>
      <formula2>9.99999999999999E+23</formula2>
    </dataValidation>
    <dataValidation type="decimal" allowBlank="1" showErrorMessage="1" errorTitle="Ошибка" error="Допускается ввод только неотрицательных чисел!" sqref="AE346">
      <formula1>0</formula1>
      <formula2>9.99999999999999E+23</formula2>
    </dataValidation>
    <dataValidation type="whole" allowBlank="1" showErrorMessage="1" errorTitle="Ошибка" error="Допускается ввод только неотрицательных целых чисел!" sqref="AF346">
      <formula1>0</formula1>
      <formula2>9.99999999999999E+23</formula2>
    </dataValidation>
    <dataValidation type="whole" allowBlank="1" showErrorMessage="1" errorTitle="Ошибка" error="Допускается ввод только неотрицательных целых чисел!" sqref="AI3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8">
      <formula1>"a"</formula1>
    </dataValidation>
    <dataValidation type="textLength" operator="lessThanOrEqual" allowBlank="1" showInputMessage="1" showErrorMessage="1" errorTitle="Ошибка" error="Допускается ввод не более 900 символов!" sqref="K348">
      <formula1>900</formula1>
    </dataValidation>
    <dataValidation type="whole" allowBlank="1" showErrorMessage="1" errorTitle="Ошибка" error="Допускается ввод только неотрицательных целых чисел!" sqref="AF348">
      <formula1>0</formula1>
      <formula2>9.99999999999999E+23</formula2>
    </dataValidation>
    <dataValidation type="whole" allowBlank="1" showErrorMessage="1" errorTitle="Ошибка" error="Допускается ввод только неотрицательных целых чисел!" sqref="AI348">
      <formula1>0</formula1>
      <formula2>9.99999999999999E+23</formula2>
    </dataValidation>
    <dataValidation type="whole" allowBlank="1" showErrorMessage="1" errorTitle="Ошибка" error="Допускается ввод только неотрицательных целых чисел!" sqref="AF349">
      <formula1>0</formula1>
      <formula2>9.99999999999999E+23</formula2>
    </dataValidation>
    <dataValidation type="whole" allowBlank="1" showErrorMessage="1" errorTitle="Ошибка" error="Допускается ввод только неотрицательных целых чисел!" sqref="AI3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decimal" allowBlank="1" showErrorMessage="1" errorTitle="Ошибка" error="Допускается ввод только неотрицательных чисел!" sqref="AC96">
      <formula1>0</formula1>
      <formula2>9.99999999999999E+23</formula2>
    </dataValidation>
    <dataValidation type="decimal" allowBlank="1" showErrorMessage="1" errorTitle="Ошибка" error="Допускается ввод только неотрицательных чисел!" sqref="AE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decimal" allowBlank="1" showErrorMessage="1" errorTitle="Ошибка" error="Допускается ввод только неотрицательных чисел!" sqref="AC125">
      <formula1>0</formula1>
      <formula2>9.99999999999999E+23</formula2>
    </dataValidation>
    <dataValidation type="decimal" allowBlank="1" showErrorMessage="1" errorTitle="Ошибка" error="Допускается ввод только неотрицательных чисел!" sqref="AE125">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decimal" allowBlank="1" showErrorMessage="1" errorTitle="Ошибка" error="Допускается ввод только неотрицательных чисел!" sqref="AC131">
      <formula1>0</formula1>
      <formula2>9.99999999999999E+23</formula2>
    </dataValidation>
    <dataValidation type="decimal" allowBlank="1" showErrorMessage="1" errorTitle="Ошибка" error="Допускается ввод только неотрицательных чисел!" sqref="AE131">
      <formula1>0</formula1>
      <formula2>9.99999999999999E+23</formula2>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decimal" allowBlank="1" showErrorMessage="1" errorTitle="Ошибка" error="Допускается ввод только неотрицательных чисел!" sqref="AC137">
      <formula1>0</formula1>
      <formula2>9.99999999999999E+23</formula2>
    </dataValidation>
    <dataValidation type="decimal" allowBlank="1" showErrorMessage="1" errorTitle="Ошибка" error="Допускается ввод только неотрицательных чисел!" sqref="AE137">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decimal" allowBlank="1" showErrorMessage="1" errorTitle="Ошибка" error="Допускается ввод только неотрицательных чисел!" sqref="AC143">
      <formula1>0</formula1>
      <formula2>9.99999999999999E+23</formula2>
    </dataValidation>
    <dataValidation type="decimal" allowBlank="1" showErrorMessage="1" errorTitle="Ошибка" error="Допускается ввод только неотрицательных чисел!" sqref="AE143">
      <formula1>0</formula1>
      <formula2>9.99999999999999E+23</formula2>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9">
      <formula1>"a"</formula1>
    </dataValidation>
    <dataValidation type="textLength" operator="lessThanOrEqual" allowBlank="1" showInputMessage="1" showErrorMessage="1" errorTitle="Ошибка" error="Допускается ввод не более 900 символов!" sqref="K149">
      <formula1>900</formula1>
    </dataValidation>
    <dataValidation type="decimal" allowBlank="1" showErrorMessage="1" errorTitle="Ошибка" error="Допускается ввод только неотрицательных чисел!" sqref="AC149">
      <formula1>0</formula1>
      <formula2>9.99999999999999E+23</formula2>
    </dataValidation>
    <dataValidation type="decimal" allowBlank="1" showErrorMessage="1" errorTitle="Ошибка" error="Допускается ввод только неотрицательных чисел!" sqref="AE149">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5">
      <formula1>"a"</formula1>
    </dataValidation>
    <dataValidation type="textLength" operator="lessThanOrEqual" allowBlank="1" showInputMessage="1" showErrorMessage="1" errorTitle="Ошибка" error="Допускается ввод не более 900 символов!" sqref="K155">
      <formula1>900</formula1>
    </dataValidation>
    <dataValidation type="decimal" allowBlank="1" showErrorMessage="1" errorTitle="Ошибка" error="Допускается ввод только неотрицательных чисел!" sqref="AC155">
      <formula1>0</formula1>
      <formula2>9.99999999999999E+23</formula2>
    </dataValidation>
    <dataValidation type="decimal" allowBlank="1" showErrorMessage="1" errorTitle="Ошибка" error="Допускается ввод только неотрицательных чисел!" sqref="AE155">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decimal" allowBlank="1" showErrorMessage="1" errorTitle="Ошибка" error="Допускается ввод только неотрицательных чисел!" sqref="AC161">
      <formula1>0</formula1>
      <formula2>9.99999999999999E+23</formula2>
    </dataValidation>
    <dataValidation type="decimal" allowBlank="1" showErrorMessage="1" errorTitle="Ошибка" error="Допускается ввод только неотрицательных чисел!" sqref="AE161">
      <formula1>0</formula1>
      <formula2>9.99999999999999E+23</formula2>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decimal" allowBlank="1" showErrorMessage="1" errorTitle="Ошибка" error="Допускается ввод только неотрицательных чисел!" sqref="AC167">
      <formula1>0</formula1>
      <formula2>9.99999999999999E+23</formula2>
    </dataValidation>
    <dataValidation type="decimal" allowBlank="1" showErrorMessage="1" errorTitle="Ошибка" error="Допускается ввод только неотрицательных чисел!" sqref="AE167">
      <formula1>0</formula1>
      <formula2>9.99999999999999E+23</formula2>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decimal" allowBlank="1" showErrorMessage="1" errorTitle="Ошибка" error="Допускается ввод только неотрицательных чисел!" sqref="AC173">
      <formula1>0</formula1>
      <formula2>9.99999999999999E+23</formula2>
    </dataValidation>
    <dataValidation type="decimal" allowBlank="1" showErrorMessage="1" errorTitle="Ошибка" error="Допускается ввод только неотрицательных чисел!" sqref="AE173">
      <formula1>0</formula1>
      <formula2>9.99999999999999E+23</formula2>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decimal" allowBlank="1" showErrorMessage="1" errorTitle="Ошибка" error="Допускается ввод только неотрицательных чисел!" sqref="AC179">
      <formula1>0</formula1>
      <formula2>9.99999999999999E+23</formula2>
    </dataValidation>
    <dataValidation type="decimal" allowBlank="1" showErrorMessage="1" errorTitle="Ошибка" error="Допускается ввод только неотрицательных чисел!" sqref="AE179">
      <formula1>0</formula1>
      <formula2>9.99999999999999E+23</formula2>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decimal" allowBlank="1" showErrorMessage="1" errorTitle="Ошибка" error="Допускается ввод только неотрицательных чисел!" sqref="AC185">
      <formula1>0</formula1>
      <formula2>9.99999999999999E+23</formula2>
    </dataValidation>
    <dataValidation type="decimal" allowBlank="1" showErrorMessage="1" errorTitle="Ошибка" error="Допускается ввод только неотрицательных чисел!" sqref="AE185">
      <formula1>0</formula1>
      <formula2>9.99999999999999E+23</formula2>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decimal" allowBlank="1" showErrorMessage="1" errorTitle="Ошибка" error="Допускается ввод только неотрицательных чисел!" sqref="AC191">
      <formula1>0</formula1>
      <formula2>9.99999999999999E+23</formula2>
    </dataValidation>
    <dataValidation type="decimal" allowBlank="1" showErrorMessage="1" errorTitle="Ошибка" error="Допускается ввод только неотрицательных чисел!" sqref="AE191">
      <formula1>0</formula1>
      <formula2>9.99999999999999E+23</formula2>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decimal" allowBlank="1" showErrorMessage="1" errorTitle="Ошибка" error="Допускается ввод только неотрицательных чисел!" sqref="AC197">
      <formula1>0</formula1>
      <formula2>9.99999999999999E+23</formula2>
    </dataValidation>
    <dataValidation type="decimal" allowBlank="1" showErrorMessage="1" errorTitle="Ошибка" error="Допускается ввод только неотрицательных чисел!" sqref="AE197">
      <formula1>0</formula1>
      <formula2>9.99999999999999E+23</formula2>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decimal" allowBlank="1" showErrorMessage="1" errorTitle="Ошибка" error="Допускается ввод только неотрицательных чисел!" sqref="AC203">
      <formula1>0</formula1>
      <formula2>9.99999999999999E+23</formula2>
    </dataValidation>
    <dataValidation type="decimal" allowBlank="1" showErrorMessage="1" errorTitle="Ошибка" error="Допускается ввод только неотрицательных чисел!" sqref="AE203">
      <formula1>0</formula1>
      <formula2>9.99999999999999E+23</formula2>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decimal" allowBlank="1" showErrorMessage="1" errorTitle="Ошибка" error="Допускается ввод только неотрицательных чисел!" sqref="AC209">
      <formula1>0</formula1>
      <formula2>9.99999999999999E+23</formula2>
    </dataValidation>
    <dataValidation type="decimal" allowBlank="1" showErrorMessage="1" errorTitle="Ошибка" error="Допускается ввод только неотрицательных чисел!" sqref="AE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decimal" allowBlank="1" showErrorMessage="1" errorTitle="Ошибка" error="Допускается ввод только неотрицательных чисел!" sqref="AC221">
      <formula1>0</formula1>
      <formula2>9.99999999999999E+23</formula2>
    </dataValidation>
    <dataValidation type="decimal" allowBlank="1" showErrorMessage="1" errorTitle="Ошибка" error="Допускается ввод только неотрицательных чисел!" sqref="AE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decimal" allowBlank="1" showErrorMessage="1" errorTitle="Ошибка" error="Допускается ввод только неотрицательных чисел!" sqref="AC227">
      <formula1>0</formula1>
      <formula2>9.99999999999999E+23</formula2>
    </dataValidation>
    <dataValidation type="decimal" allowBlank="1" showErrorMessage="1" errorTitle="Ошибка" error="Допускается ввод только неотрицательных чисел!" sqref="AE227">
      <formula1>0</formula1>
      <formula2>9.99999999999999E+23</formula2>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3">
      <formula1>"a"</formula1>
    </dataValidation>
    <dataValidation type="textLength" operator="lessThanOrEqual" allowBlank="1" showInputMessage="1" showErrorMessage="1" errorTitle="Ошибка" error="Допускается ввод не более 900 символов!" sqref="K233">
      <formula1>900</formula1>
    </dataValidation>
    <dataValidation type="decimal" allowBlank="1" showErrorMessage="1" errorTitle="Ошибка" error="Допускается ввод только неотрицательных чисел!" sqref="AC233">
      <formula1>0</formula1>
      <formula2>9.99999999999999E+23</formula2>
    </dataValidation>
    <dataValidation type="decimal" allowBlank="1" showErrorMessage="1" errorTitle="Ошибка" error="Допускается ввод только неотрицательных чисел!" sqref="AE233">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decimal" allowBlank="1" showErrorMessage="1" errorTitle="Ошибка" error="Допускается ввод только неотрицательных чисел!" sqref="AC239">
      <formula1>0</formula1>
      <formula2>9.99999999999999E+23</formula2>
    </dataValidation>
    <dataValidation type="decimal" allowBlank="1" showErrorMessage="1" errorTitle="Ошибка" error="Допускается ввод только неотрицательных чисел!" sqref="AE239">
      <formula1>0</formula1>
      <formula2>9.99999999999999E+23</formula2>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decimal" allowBlank="1" showErrorMessage="1" errorTitle="Ошибка" error="Допускается ввод только неотрицательных чисел!" sqref="AC245">
      <formula1>0</formula1>
      <formula2>9.99999999999999E+23</formula2>
    </dataValidation>
    <dataValidation type="decimal" allowBlank="1" showErrorMessage="1" errorTitle="Ошибка" error="Допускается ввод только неотрицательных чисел!" sqref="AE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decimal" allowBlank="1" showErrorMessage="1" errorTitle="Ошибка" error="Допускается ввод только неотрицательных чисел!" sqref="AC251">
      <formula1>0</formula1>
      <formula2>9.99999999999999E+23</formula2>
    </dataValidation>
    <dataValidation type="decimal" allowBlank="1" showErrorMessage="1" errorTitle="Ошибка" error="Допускается ввод только неотрицательных чисел!" sqref="AE251">
      <formula1>0</formula1>
      <formula2>9.99999999999999E+23</formula2>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decimal" allowBlank="1" showErrorMessage="1" errorTitle="Ошибка" error="Допускается ввод только неотрицательных чисел!" sqref="AC257">
      <formula1>0</formula1>
      <formula2>9.99999999999999E+23</formula2>
    </dataValidation>
    <dataValidation type="decimal" allowBlank="1" showErrorMessage="1" errorTitle="Ошибка" error="Допускается ввод только неотрицательных чисел!" sqref="AE257">
      <formula1>0</formula1>
      <formula2>9.99999999999999E+23</formula2>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decimal" allowBlank="1" showErrorMessage="1" errorTitle="Ошибка" error="Допускается ввод только неотрицательных чисел!" sqref="AC263">
      <formula1>0</formula1>
      <formula2>9.99999999999999E+23</formula2>
    </dataValidation>
    <dataValidation type="decimal" allowBlank="1" showErrorMessage="1" errorTitle="Ошибка" error="Допускается ввод только неотрицательных чисел!" sqref="AE263">
      <formula1>0</formula1>
      <formula2>9.99999999999999E+23</formula2>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decimal" allowBlank="1" showErrorMessage="1" errorTitle="Ошибка" error="Допускается ввод только неотрицательных чисел!" sqref="AC269">
      <formula1>0</formula1>
      <formula2>9.99999999999999E+23</formula2>
    </dataValidation>
    <dataValidation type="decimal" allowBlank="1" showErrorMessage="1" errorTitle="Ошибка" error="Допускается ввод только неотрицательных чисел!" sqref="AE269">
      <formula1>0</formula1>
      <formula2>9.99999999999999E+23</formula2>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5">
      <formula1>"a"</formula1>
    </dataValidation>
    <dataValidation type="textLength" operator="lessThanOrEqual" allowBlank="1" showInputMessage="1" showErrorMessage="1" errorTitle="Ошибка" error="Допускается ввод не более 900 символов!" sqref="K275">
      <formula1>900</formula1>
    </dataValidation>
    <dataValidation type="decimal" allowBlank="1" showErrorMessage="1" errorTitle="Ошибка" error="Допускается ввод только неотрицательных чисел!" sqref="AC275">
      <formula1>0</formula1>
      <formula2>9.99999999999999E+23</formula2>
    </dataValidation>
    <dataValidation type="decimal" allowBlank="1" showErrorMessage="1" errorTitle="Ошибка" error="Допускается ввод только неотрицательных чисел!" sqref="AE275">
      <formula1>0</formula1>
      <formula2>9.99999999999999E+23</formula2>
    </dataValidation>
    <dataValidation type="whole" allowBlank="1" showErrorMessage="1" errorTitle="Ошибка" error="Допускается ввод только неотрицательных целых чисел!" sqref="AF275">
      <formula1>0</formula1>
      <formula2>9.99999999999999E+23</formula2>
    </dataValidation>
    <dataValidation type="whole" allowBlank="1" showErrorMessage="1" errorTitle="Ошибка" error="Допускается ввод только неотрицательных целых чисел!" sqref="AI2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1">
      <formula1>"a"</formula1>
    </dataValidation>
    <dataValidation type="textLength" operator="lessThanOrEqual" allowBlank="1" showInputMessage="1" showErrorMessage="1" errorTitle="Ошибка" error="Допускается ввод не более 900 символов!" sqref="K281">
      <formula1>900</formula1>
    </dataValidation>
    <dataValidation type="decimal" allowBlank="1" showErrorMessage="1" errorTitle="Ошибка" error="Допускается ввод только неотрицательных чисел!" sqref="AC281">
      <formula1>0</formula1>
      <formula2>9.99999999999999E+23</formula2>
    </dataValidation>
    <dataValidation type="decimal" allowBlank="1" showErrorMessage="1" errorTitle="Ошибка" error="Допускается ввод только неотрицательных чисел!" sqref="AE281">
      <formula1>0</formula1>
      <formula2>9.99999999999999E+23</formula2>
    </dataValidation>
    <dataValidation type="whole" allowBlank="1" showErrorMessage="1" errorTitle="Ошибка" error="Допускается ввод только неотрицательных целых чисел!" sqref="AF281">
      <formula1>0</formula1>
      <formula2>9.99999999999999E+23</formula2>
    </dataValidation>
    <dataValidation type="whole" allowBlank="1" showErrorMessage="1" errorTitle="Ошибка" error="Допускается ввод только неотрицательных целых чисел!" sqref="AI2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7">
      <formula1>"a"</formula1>
    </dataValidation>
    <dataValidation type="textLength" operator="lessThanOrEqual" allowBlank="1" showInputMessage="1" showErrorMessage="1" errorTitle="Ошибка" error="Допускается ввод не более 900 символов!" sqref="K287">
      <formula1>900</formula1>
    </dataValidation>
    <dataValidation type="decimal" allowBlank="1" showErrorMessage="1" errorTitle="Ошибка" error="Допускается ввод только неотрицательных чисел!" sqref="AC287">
      <formula1>0</formula1>
      <formula2>9.99999999999999E+23</formula2>
    </dataValidation>
    <dataValidation type="decimal" allowBlank="1" showErrorMessage="1" errorTitle="Ошибка" error="Допускается ввод только неотрицательных чисел!" sqref="AE287">
      <formula1>0</formula1>
      <formula2>9.99999999999999E+23</formula2>
    </dataValidation>
    <dataValidation type="whole" allowBlank="1" showErrorMessage="1" errorTitle="Ошибка" error="Допускается ввод только неотрицательных целых чисел!" sqref="AF287">
      <formula1>0</formula1>
      <formula2>9.99999999999999E+23</formula2>
    </dataValidation>
    <dataValidation type="whole" allowBlank="1" showErrorMessage="1" errorTitle="Ошибка" error="Допускается ввод только неотрицательных целых чисел!" sqref="AI2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3">
      <formula1>"a"</formula1>
    </dataValidation>
    <dataValidation type="textLength" operator="lessThanOrEqual" allowBlank="1" showInputMessage="1" showErrorMessage="1" errorTitle="Ошибка" error="Допускается ввод не более 900 символов!" sqref="K293">
      <formula1>900</formula1>
    </dataValidation>
    <dataValidation type="decimal" allowBlank="1" showErrorMessage="1" errorTitle="Ошибка" error="Допускается ввод только неотрицательных чисел!" sqref="AC293">
      <formula1>0</formula1>
      <formula2>9.99999999999999E+23</formula2>
    </dataValidation>
    <dataValidation type="decimal" allowBlank="1" showErrorMessage="1" errorTitle="Ошибка" error="Допускается ввод только неотрицательных чисел!" sqref="AE293">
      <formula1>0</formula1>
      <formula2>9.99999999999999E+23</formula2>
    </dataValidation>
    <dataValidation type="whole" allowBlank="1" showErrorMessage="1" errorTitle="Ошибка" error="Допускается ввод только неотрицательных целых чисел!" sqref="AF293">
      <formula1>0</formula1>
      <formula2>9.99999999999999E+23</formula2>
    </dataValidation>
    <dataValidation type="whole" allowBlank="1" showErrorMessage="1" errorTitle="Ошибка" error="Допускается ввод только неотрицательных целых чисел!" sqref="AI2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9">
      <formula1>"a"</formula1>
    </dataValidation>
    <dataValidation type="textLength" operator="lessThanOrEqual" allowBlank="1" showInputMessage="1" showErrorMessage="1" errorTitle="Ошибка" error="Допускается ввод не более 900 символов!" sqref="K299">
      <formula1>900</formula1>
    </dataValidation>
    <dataValidation type="decimal" allowBlank="1" showErrorMessage="1" errorTitle="Ошибка" error="Допускается ввод только неотрицательных чисел!" sqref="AC299">
      <formula1>0</formula1>
      <formula2>9.99999999999999E+23</formula2>
    </dataValidation>
    <dataValidation type="decimal" allowBlank="1" showErrorMessage="1" errorTitle="Ошибка" error="Допускается ввод только неотрицательных чисел!" sqref="AE299">
      <formula1>0</formula1>
      <formula2>9.99999999999999E+23</formula2>
    </dataValidation>
    <dataValidation type="whole" allowBlank="1" showErrorMessage="1" errorTitle="Ошибка" error="Допускается ввод только неотрицательных целых чисел!" sqref="AF299">
      <formula1>0</formula1>
      <formula2>9.99999999999999E+23</formula2>
    </dataValidation>
    <dataValidation type="whole" allowBlank="1" showErrorMessage="1" errorTitle="Ошибка" error="Допускается ввод только неотрицательных целых чисел!" sqref="AI2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5">
      <formula1>"a"</formula1>
    </dataValidation>
    <dataValidation type="textLength" operator="lessThanOrEqual" allowBlank="1" showInputMessage="1" showErrorMessage="1" errorTitle="Ошибка" error="Допускается ввод не более 900 символов!" sqref="K305">
      <formula1>900</formula1>
    </dataValidation>
    <dataValidation type="decimal" allowBlank="1" showErrorMessage="1" errorTitle="Ошибка" error="Допускается ввод только неотрицательных чисел!" sqref="AC305">
      <formula1>0</formula1>
      <formula2>9.99999999999999E+23</formula2>
    </dataValidation>
    <dataValidation type="decimal" allowBlank="1" showErrorMessage="1" errorTitle="Ошибка" error="Допускается ввод только неотрицательных чисел!" sqref="AE305">
      <formula1>0</formula1>
      <formula2>9.99999999999999E+23</formula2>
    </dataValidation>
    <dataValidation type="whole" allowBlank="1" showErrorMessage="1" errorTitle="Ошибка" error="Допускается ввод только неотрицательных целых чисел!" sqref="AF305">
      <formula1>0</formula1>
      <formula2>9.99999999999999E+23</formula2>
    </dataValidation>
    <dataValidation type="whole" allowBlank="1" showErrorMessage="1" errorTitle="Ошибка" error="Допускается ввод только неотрицательных целых чисел!" sqref="AI3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1">
      <formula1>"a"</formula1>
    </dataValidation>
    <dataValidation type="textLength" operator="lessThanOrEqual" allowBlank="1" showInputMessage="1" showErrorMessage="1" errorTitle="Ошибка" error="Допускается ввод не более 900 символов!" sqref="K311">
      <formula1>900</formula1>
    </dataValidation>
    <dataValidation type="decimal" allowBlank="1" showErrorMessage="1" errorTitle="Ошибка" error="Допускается ввод только неотрицательных чисел!" sqref="AC311">
      <formula1>0</formula1>
      <formula2>9.99999999999999E+23</formula2>
    </dataValidation>
    <dataValidation type="decimal" allowBlank="1" showErrorMessage="1" errorTitle="Ошибка" error="Допускается ввод только неотрицательных чисел!" sqref="AE311">
      <formula1>0</formula1>
      <formula2>9.99999999999999E+23</formula2>
    </dataValidation>
    <dataValidation type="whole" allowBlank="1" showErrorMessage="1" errorTitle="Ошибка" error="Допускается ввод только неотрицательных целых чисел!" sqref="AF311">
      <formula1>0</formula1>
      <formula2>9.99999999999999E+23</formula2>
    </dataValidation>
    <dataValidation type="whole" allowBlank="1" showErrorMessage="1" errorTitle="Ошибка" error="Допускается ввод только неотрицательных целых чисел!" sqref="AI3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7">
      <formula1>"a"</formula1>
    </dataValidation>
    <dataValidation type="textLength" operator="lessThanOrEqual" allowBlank="1" showInputMessage="1" showErrorMessage="1" errorTitle="Ошибка" error="Допускается ввод не более 900 символов!" sqref="K317">
      <formula1>900</formula1>
    </dataValidation>
    <dataValidation type="decimal" allowBlank="1" showErrorMessage="1" errorTitle="Ошибка" error="Допускается ввод только неотрицательных чисел!" sqref="AC317">
      <formula1>0</formula1>
      <formula2>9.99999999999999E+23</formula2>
    </dataValidation>
    <dataValidation type="decimal" allowBlank="1" showErrorMessage="1" errorTitle="Ошибка" error="Допускается ввод только неотрицательных чисел!" sqref="AE317">
      <formula1>0</formula1>
      <formula2>9.99999999999999E+23</formula2>
    </dataValidation>
    <dataValidation type="whole" allowBlank="1" showErrorMessage="1" errorTitle="Ошибка" error="Допускается ввод только неотрицательных целых чисел!" sqref="AF317">
      <formula1>0</formula1>
      <formula2>9.99999999999999E+23</formula2>
    </dataValidation>
    <dataValidation type="whole" allowBlank="1" showErrorMessage="1" errorTitle="Ошибка" error="Допускается ввод только неотрицательных целых чисел!" sqref="AI3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3">
      <formula1>"a"</formula1>
    </dataValidation>
    <dataValidation type="textLength" operator="lessThanOrEqual" allowBlank="1" showInputMessage="1" showErrorMessage="1" errorTitle="Ошибка" error="Допускается ввод не более 900 символов!" sqref="K323">
      <formula1>900</formula1>
    </dataValidation>
    <dataValidation type="decimal" allowBlank="1" showErrorMessage="1" errorTitle="Ошибка" error="Допускается ввод только неотрицательных чисел!" sqref="AC323">
      <formula1>0</formula1>
      <formula2>9.99999999999999E+23</formula2>
    </dataValidation>
    <dataValidation type="decimal" allowBlank="1" showErrorMessage="1" errorTitle="Ошибка" error="Допускается ввод только неотрицательных чисел!" sqref="AE323">
      <formula1>0</formula1>
      <formula2>9.99999999999999E+23</formula2>
    </dataValidation>
    <dataValidation type="whole" allowBlank="1" showErrorMessage="1" errorTitle="Ошибка" error="Допускается ввод только неотрицательных целых чисел!" sqref="AF323">
      <formula1>0</formula1>
      <formula2>9.99999999999999E+23</formula2>
    </dataValidation>
    <dataValidation type="whole" allowBlank="1" showErrorMessage="1" errorTitle="Ошибка" error="Допускается ввод только неотрицательных целых чисел!" sqref="AI3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9">
      <formula1>"a"</formula1>
    </dataValidation>
    <dataValidation type="textLength" operator="lessThanOrEqual" allowBlank="1" showInputMessage="1" showErrorMessage="1" errorTitle="Ошибка" error="Допускается ввод не более 900 символов!" sqref="K329">
      <formula1>900</formula1>
    </dataValidation>
    <dataValidation type="decimal" allowBlank="1" showErrorMessage="1" errorTitle="Ошибка" error="Допускается ввод только неотрицательных чисел!" sqref="AC329">
      <formula1>0</formula1>
      <formula2>9.99999999999999E+23</formula2>
    </dataValidation>
    <dataValidation type="decimal" allowBlank="1" showErrorMessage="1" errorTitle="Ошибка" error="Допускается ввод только неотрицательных чисел!" sqref="AE329">
      <formula1>0</formula1>
      <formula2>9.99999999999999E+23</formula2>
    </dataValidation>
    <dataValidation type="whole" allowBlank="1" showErrorMessage="1" errorTitle="Ошибка" error="Допускается ввод только неотрицательных целых чисел!" sqref="AF329">
      <formula1>0</formula1>
      <formula2>9.99999999999999E+23</formula2>
    </dataValidation>
    <dataValidation type="whole" allowBlank="1" showErrorMessage="1" errorTitle="Ошибка" error="Допускается ввод только неотрицательных целых чисел!" sqref="AI3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5">
      <formula1>"a"</formula1>
    </dataValidation>
    <dataValidation type="textLength" operator="lessThanOrEqual" allowBlank="1" showInputMessage="1" showErrorMessage="1" errorTitle="Ошибка" error="Допускается ввод не более 900 символов!" sqref="K335">
      <formula1>900</formula1>
    </dataValidation>
    <dataValidation type="decimal" allowBlank="1" showErrorMessage="1" errorTitle="Ошибка" error="Допускается ввод только неотрицательных чисел!" sqref="AC335">
      <formula1>0</formula1>
      <formula2>9.99999999999999E+23</formula2>
    </dataValidation>
    <dataValidation type="decimal" allowBlank="1" showErrorMessage="1" errorTitle="Ошибка" error="Допускается ввод только неотрицательных чисел!" sqref="AE335">
      <formula1>0</formula1>
      <formula2>9.99999999999999E+23</formula2>
    </dataValidation>
    <dataValidation type="whole" allowBlank="1" showErrorMessage="1" errorTitle="Ошибка" error="Допускается ввод только неотрицательных целых чисел!" sqref="AF335">
      <formula1>0</formula1>
      <formula2>9.99999999999999E+23</formula2>
    </dataValidation>
    <dataValidation type="whole" allowBlank="1" showErrorMessage="1" errorTitle="Ошибка" error="Допускается ввод только неотрицательных целых чисел!" sqref="AI3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1">
      <formula1>"a"</formula1>
    </dataValidation>
    <dataValidation type="textLength" operator="lessThanOrEqual" allowBlank="1" showInputMessage="1" showErrorMessage="1" errorTitle="Ошибка" error="Допускается ввод не более 900 символов!" sqref="K341">
      <formula1>900</formula1>
    </dataValidation>
    <dataValidation type="decimal" allowBlank="1" showErrorMessage="1" errorTitle="Ошибка" error="Допускается ввод только неотрицательных чисел!" sqref="AC341">
      <formula1>0</formula1>
      <formula2>9.99999999999999E+23</formula2>
    </dataValidation>
    <dataValidation type="decimal" allowBlank="1" showErrorMessage="1" errorTitle="Ошибка" error="Допускается ввод только неотрицательных чисел!" sqref="AE341">
      <formula1>0</formula1>
      <formula2>9.99999999999999E+23</formula2>
    </dataValidation>
    <dataValidation type="whole" allowBlank="1" showErrorMessage="1" errorTitle="Ошибка" error="Допускается ввод только неотрицательных целых чисел!" sqref="AF341">
      <formula1>0</formula1>
      <formula2>9.99999999999999E+23</formula2>
    </dataValidation>
    <dataValidation type="whole" allowBlank="1" showErrorMessage="1" errorTitle="Ошибка" error="Допускается ввод только неотрицательных целых чисел!" sqref="AI3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7">
      <formula1>"a"</formula1>
    </dataValidation>
    <dataValidation type="textLength" operator="lessThanOrEqual" allowBlank="1" showInputMessage="1" showErrorMessage="1" errorTitle="Ошибка" error="Допускается ввод не более 900 символов!" sqref="K347">
      <formula1>900</formula1>
    </dataValidation>
    <dataValidation type="decimal" allowBlank="1" showErrorMessage="1" errorTitle="Ошибка" error="Допускается ввод только неотрицательных чисел!" sqref="AC347">
      <formula1>0</formula1>
      <formula2>9.99999999999999E+23</formula2>
    </dataValidation>
    <dataValidation type="decimal" allowBlank="1" showErrorMessage="1" errorTitle="Ошибка" error="Допускается ввод только неотрицательных чисел!" sqref="AE347">
      <formula1>0</formula1>
      <formula2>9.99999999999999E+23</formula2>
    </dataValidation>
    <dataValidation type="whole" allowBlank="1" showErrorMessage="1" errorTitle="Ошибка" error="Допускается ввод только неотрицательных целых чисел!" sqref="AF347">
      <formula1>0</formula1>
      <formula2>9.99999999999999E+23</formula2>
    </dataValidation>
    <dataValidation type="whole" allowBlank="1" showErrorMessage="1" errorTitle="Ошибка" error="Допускается ввод только неотрицательных целых чисел!" sqref="AI3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decimal" allowBlank="1" showErrorMessage="1" errorTitle="Ошибка" error="Допускается ввод только неотрицательных чисел!" sqref="AC39">
      <formula1>0</formula1>
      <formula2>9.99999999999999E+23</formula2>
    </dataValidation>
    <dataValidation type="decimal" allowBlank="1" showErrorMessage="1" errorTitle="Ошибка" error="Допускается ввод только неотрицательных чисел!" sqref="AE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0">
      <formula1>"a"</formula1>
    </dataValidation>
    <dataValidation type="textLength" operator="lessThanOrEqual" allowBlank="1" showInputMessage="1" showErrorMessage="1" errorTitle="Ошибка" error="Допускается ввод не более 900 символов!" sqref="K350">
      <formula1>900</formula1>
    </dataValidation>
    <dataValidation type="textLength" operator="lessThanOrEqual" allowBlank="1" showInputMessage="1" showErrorMessage="1" errorTitle="Ошибка" error="Допускается ввод не более 900 символов!" sqref="M350">
      <formula1>900</formula1>
    </dataValidation>
    <dataValidation type="whole" allowBlank="1" showErrorMessage="1" errorTitle="Ошибка" error="Допускается ввод только неотрицательных целых чисел!" sqref="AF350">
      <formula1>0</formula1>
      <formula2>9.99999999999999E+23</formula2>
    </dataValidation>
    <dataValidation type="whole" allowBlank="1" showErrorMessage="1" errorTitle="Ошибка" error="Допускается ввод только неотрицательных целых чисел!" sqref="AI3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1">
      <formula1>"a"</formula1>
    </dataValidation>
    <dataValidation type="textLength" operator="lessThanOrEqual" allowBlank="1" showInputMessage="1" showErrorMessage="1" errorTitle="Ошибка" error="Допускается ввод не более 900 символов!" sqref="K351">
      <formula1>900</formula1>
    </dataValidation>
    <dataValidation type="whole" allowBlank="1" showErrorMessage="1" errorTitle="Ошибка" error="Допускается ввод только неотрицательных целых чисел!" sqref="AF351">
      <formula1>0</formula1>
      <formula2>9.99999999999999E+23</formula2>
    </dataValidation>
    <dataValidation type="whole" allowBlank="1" showErrorMessage="1" errorTitle="Ошибка" error="Допускается ввод только неотрицательных целых чисел!" sqref="AI3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2">
      <formula1>"a"</formula1>
    </dataValidation>
    <dataValidation type="textLength" operator="lessThanOrEqual" allowBlank="1" showInputMessage="1" showErrorMessage="1" errorTitle="Ошибка" error="Допускается ввод не более 900 символов!" sqref="K352">
      <formula1>900</formula1>
    </dataValidation>
    <dataValidation type="decimal" allowBlank="1" showErrorMessage="1" errorTitle="Ошибка" error="Допускается ввод только неотрицательных чисел!" sqref="AC352">
      <formula1>0</formula1>
      <formula2>9.99999999999999E+23</formula2>
    </dataValidation>
    <dataValidation type="decimal" allowBlank="1" showErrorMessage="1" errorTitle="Ошибка" error="Допускается ввод только неотрицательных чисел!" sqref="AE352">
      <formula1>0</formula1>
      <formula2>9.99999999999999E+23</formula2>
    </dataValidation>
    <dataValidation type="whole" allowBlank="1" showErrorMessage="1" errorTitle="Ошибка" error="Допускается ввод только неотрицательных целых чисел!" sqref="AF352">
      <formula1>0</formula1>
      <formula2>9.99999999999999E+23</formula2>
    </dataValidation>
    <dataValidation type="whole" allowBlank="1" showErrorMessage="1" errorTitle="Ошибка" error="Допускается ввод только неотрицательных целых чисел!" sqref="AI3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4">
      <formula1>"a"</formula1>
    </dataValidation>
    <dataValidation type="textLength" operator="lessThanOrEqual" allowBlank="1" showInputMessage="1" showErrorMessage="1" errorTitle="Ошибка" error="Допускается ввод не более 900 символов!" sqref="K354">
      <formula1>900</formula1>
    </dataValidation>
    <dataValidation type="whole" allowBlank="1" showErrorMessage="1" errorTitle="Ошибка" error="Допускается ввод только неотрицательных целых чисел!" sqref="AF354">
      <formula1>0</formula1>
      <formula2>9.99999999999999E+23</formula2>
    </dataValidation>
    <dataValidation type="whole" allowBlank="1" showErrorMessage="1" errorTitle="Ошибка" error="Допускается ввод только неотрицательных целых чисел!" sqref="AI354">
      <formula1>0</formula1>
      <formula2>9.99999999999999E+23</formula2>
    </dataValidation>
    <dataValidation type="whole" allowBlank="1" showErrorMessage="1" errorTitle="Ошибка" error="Допускается ввод только неотрицательных целых чисел!" sqref="AF355">
      <formula1>0</formula1>
      <formula2>9.99999999999999E+23</formula2>
    </dataValidation>
    <dataValidation type="whole" allowBlank="1" showErrorMessage="1" errorTitle="Ошибка" error="Допускается ввод только неотрицательных целых чисел!" sqref="AI3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6">
      <formula1>"a"</formula1>
    </dataValidation>
    <dataValidation type="textLength" operator="lessThanOrEqual" allowBlank="1" showInputMessage="1" showErrorMessage="1" errorTitle="Ошибка" error="Допускается ввод не более 900 символов!" sqref="K356">
      <formula1>900</formula1>
    </dataValidation>
    <dataValidation type="textLength" operator="lessThanOrEqual" allowBlank="1" showInputMessage="1" showErrorMessage="1" errorTitle="Ошибка" error="Допускается ввод не более 900 символов!" sqref="M356">
      <formula1>900</formula1>
    </dataValidation>
    <dataValidation type="whole" allowBlank="1" showErrorMessage="1" errorTitle="Ошибка" error="Допускается ввод только неотрицательных целых чисел!" sqref="AF356">
      <formula1>0</formula1>
      <formula2>9.99999999999999E+23</formula2>
    </dataValidation>
    <dataValidation type="whole" allowBlank="1" showErrorMessage="1" errorTitle="Ошибка" error="Допускается ввод только неотрицательных целых чисел!" sqref="AI3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7">
      <formula1>"a"</formula1>
    </dataValidation>
    <dataValidation type="textLength" operator="lessThanOrEqual" allowBlank="1" showInputMessage="1" showErrorMessage="1" errorTitle="Ошибка" error="Допускается ввод не более 900 символов!" sqref="K357">
      <formula1>900</formula1>
    </dataValidation>
    <dataValidation type="whole" allowBlank="1" showErrorMessage="1" errorTitle="Ошибка" error="Допускается ввод только неотрицательных целых чисел!" sqref="AF357">
      <formula1>0</formula1>
      <formula2>9.99999999999999E+23</formula2>
    </dataValidation>
    <dataValidation type="whole" allowBlank="1" showErrorMessage="1" errorTitle="Ошибка" error="Допускается ввод только неотрицательных целых чисел!" sqref="AI3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8">
      <formula1>"a"</formula1>
    </dataValidation>
    <dataValidation type="textLength" operator="lessThanOrEqual" allowBlank="1" showInputMessage="1" showErrorMessage="1" errorTitle="Ошибка" error="Допускается ввод не более 900 символов!" sqref="K358">
      <formula1>900</formula1>
    </dataValidation>
    <dataValidation type="decimal" allowBlank="1" showErrorMessage="1" errorTitle="Ошибка" error="Допускается ввод только неотрицательных чисел!" sqref="AC358">
      <formula1>0</formula1>
      <formula2>9.99999999999999E+23</formula2>
    </dataValidation>
    <dataValidation type="decimal" allowBlank="1" showErrorMessage="1" errorTitle="Ошибка" error="Допускается ввод только неотрицательных чисел!" sqref="AE358">
      <formula1>0</formula1>
      <formula2>9.99999999999999E+23</formula2>
    </dataValidation>
    <dataValidation type="whole" allowBlank="1" showErrorMessage="1" errorTitle="Ошибка" error="Допускается ввод только неотрицательных целых чисел!" sqref="AF358">
      <formula1>0</formula1>
      <formula2>9.99999999999999E+23</formula2>
    </dataValidation>
    <dataValidation type="whole" allowBlank="1" showErrorMessage="1" errorTitle="Ошибка" error="Допускается ввод только неотрицательных целых чисел!" sqref="AI3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9">
      <formula1>"a"</formula1>
    </dataValidation>
    <dataValidation type="textLength" operator="lessThanOrEqual" allowBlank="1" showInputMessage="1" showErrorMessage="1" errorTitle="Ошибка" error="Допускается ввод не более 900 символов!" sqref="K359">
      <formula1>900</formula1>
    </dataValidation>
    <dataValidation type="whole" allowBlank="1" showErrorMessage="1" errorTitle="Ошибка" error="Допускается ввод только неотрицательных целых чисел!" sqref="AF359">
      <formula1>0</formula1>
      <formula2>9.99999999999999E+23</formula2>
    </dataValidation>
    <dataValidation type="whole" allowBlank="1" showErrorMessage="1" errorTitle="Ошибка" error="Допускается ввод только неотрицательных целых чисел!" sqref="AI359">
      <formula1>0</formula1>
      <formula2>9.99999999999999E+23</formula2>
    </dataValidation>
    <dataValidation type="whole" allowBlank="1" showErrorMessage="1" errorTitle="Ошибка" error="Допускается ввод только неотрицательных целых чисел!" sqref="AF360">
      <formula1>0</formula1>
      <formula2>9.99999999999999E+23</formula2>
    </dataValidation>
    <dataValidation type="whole" allowBlank="1" showErrorMessage="1" errorTitle="Ошибка" error="Допускается ввод только неотрицательных целых чисел!" sqref="AI3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3">
      <formula1>"a"</formula1>
    </dataValidation>
    <dataValidation type="textLength" operator="lessThanOrEqual" allowBlank="1" showInputMessage="1" showErrorMessage="1" errorTitle="Ошибка" error="Допускается ввод не более 900 символов!" sqref="K353">
      <formula1>900</formula1>
    </dataValidation>
    <dataValidation type="decimal" allowBlank="1" showErrorMessage="1" errorTitle="Ошибка" error="Допускается ввод только неотрицательных чисел!" sqref="AC353">
      <formula1>0</formula1>
      <formula2>9.99999999999999E+23</formula2>
    </dataValidation>
    <dataValidation type="decimal" allowBlank="1" showErrorMessage="1" errorTitle="Ошибка" error="Допускается ввод только неотрицательных чисел!" sqref="AE353">
      <formula1>0</formula1>
      <formula2>9.99999999999999E+23</formula2>
    </dataValidation>
    <dataValidation type="whole" allowBlank="1" showErrorMessage="1" errorTitle="Ошибка" error="Допускается ввод только неотрицательных целых чисел!" sqref="AF353">
      <formula1>0</formula1>
      <formula2>9.99999999999999E+23</formula2>
    </dataValidation>
    <dataValidation type="whole" allowBlank="1" showErrorMessage="1" errorTitle="Ошибка" error="Допускается ввод только неотрицательных целых чисел!" sqref="AI353">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803ED-8E79-8EB1-014D-8E19A1D2C68D}"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7" style="1643" width="21.7109375" hidden="1" customWidth="1"/>
    <col min="18" max="18" style="1643" width="0.140625" customWidth="1"/>
    <col min="19" max="19" style="1643" width="1.00390625" customWidth="1"/>
    <col min="20" max="30" style="1643" width="8.00390625" customWidth="1"/>
    <col min="31" max="31" style="1643" width="9.140625" hidden="1"/>
  </cols>
  <sheetData>
    <row s="1374" customFormat="1" customHeight="1" ht="10.5" hidden="1">
      <c r="A1" s="1174"/>
      <c r="B1" s="1174"/>
      <c r="C1" s="1174"/>
      <c r="E1" s="545"/>
      <c r="K1" s="1374"/>
      <c r="L1" s="1374"/>
      <c r="M1" s="1374"/>
      <c r="N1" s="1374"/>
      <c r="O1" s="1374"/>
      <c r="P1" s="1374"/>
      <c r="Q1" s="1374"/>
      <c r="R1" s="1374"/>
      <c r="AE1" s="1168" t="s">
        <v>14</v>
      </c>
    </row>
    <row customHeight="1" ht="10.5" hidden="1">
      <c r="K2" s="1643"/>
      <c r="L2" s="1643"/>
      <c r="M2" s="1643"/>
      <c r="N2" s="1643"/>
      <c r="O2" s="1643"/>
      <c r="P2" s="1643"/>
      <c r="Q2" s="1643"/>
      <c r="R2" s="1643"/>
      <c r="AE2" s="1163">
        <v>0</v>
      </c>
    </row>
    <row s="1640" customFormat="1" customHeight="1" ht="10.5" hidden="1">
      <c r="A3" s="1174"/>
      <c r="B3" s="1174"/>
      <c r="C3" s="1174"/>
      <c r="D3" s="1168"/>
      <c r="E3" s="370"/>
      <c r="K3" s="1640"/>
      <c r="L3" s="1640"/>
      <c r="M3" s="1640"/>
      <c r="N3" s="1640"/>
      <c r="O3" s="1640"/>
      <c r="P3" s="1640"/>
      <c r="Q3" s="1640"/>
      <c r="R3" s="1640"/>
      <c r="AE3" s="1164">
        <v>0</v>
      </c>
    </row>
    <row customHeight="1" ht="3">
      <c r="K4" s="1643"/>
      <c r="L4" s="1643"/>
      <c r="M4" s="1643"/>
      <c r="N4" s="1643"/>
      <c r="O4" s="1643"/>
      <c r="P4" s="1643"/>
      <c r="Q4" s="1643"/>
      <c r="R4" s="1643"/>
      <c r="AE4" s="1163">
        <v>3</v>
      </c>
    </row>
    <row customHeight="1" ht="27.299999999999997">
      <c r="F5" s="226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9"/>
      <c r="H5" s="2269"/>
      <c r="I5" s="2269"/>
      <c r="J5" s="2269"/>
      <c r="K5" s="2269"/>
      <c r="L5" s="2269"/>
      <c r="M5" s="2269"/>
      <c r="N5" s="2269"/>
      <c r="O5" s="2269"/>
      <c r="P5" s="2269"/>
      <c r="Q5" s="2269"/>
      <c r="R5" s="2269"/>
      <c r="AE5" s="1163">
        <v>26</v>
      </c>
    </row>
    <row customHeight="1" ht="10.5">
      <c r="F6" s="2197" t="str">
        <f>IF(org=0,"Не определено",org)</f>
        <v>АО "ДГК"</v>
      </c>
      <c r="G6" s="2197"/>
      <c r="H6" s="2197"/>
      <c r="I6" s="2197"/>
      <c r="J6" s="2197"/>
      <c r="K6" s="2270"/>
      <c r="L6" s="2270"/>
      <c r="M6" s="2270"/>
      <c r="N6" s="2270"/>
      <c r="O6" s="2270"/>
      <c r="P6" s="2270"/>
      <c r="Q6" s="2270"/>
      <c r="R6" s="2270"/>
      <c r="AE6" s="1163">
        <v>10</v>
      </c>
    </row>
    <row customHeight="1" ht="11.549999999999999">
      <c r="E7" s="1178"/>
      <c r="F7" s="1235"/>
      <c r="G7" s="1235"/>
      <c r="H7" s="1235"/>
      <c r="I7" s="1235"/>
      <c r="J7" s="1235"/>
      <c r="K7" s="1235" t="s">
        <v>22</v>
      </c>
      <c r="L7" s="1235"/>
      <c r="M7" s="1235" t="s">
        <v>22</v>
      </c>
      <c r="N7" s="1235" t="s">
        <v>22</v>
      </c>
      <c r="O7" s="1235" t="s">
        <v>22</v>
      </c>
      <c r="P7" s="1235" t="s">
        <v>22</v>
      </c>
      <c r="Q7" s="1235" t="s">
        <v>22</v>
      </c>
      <c r="R7" s="1235"/>
      <c r="S7" s="1165"/>
      <c r="T7" s="1165"/>
      <c r="U7" s="1165"/>
      <c r="V7" s="1165"/>
      <c r="W7" s="1165"/>
      <c r="X7" s="1165"/>
      <c r="Y7" s="1165"/>
      <c r="Z7" s="1165"/>
      <c r="AA7" s="1165"/>
      <c r="AB7" s="1165"/>
      <c r="AC7" s="1165"/>
      <c r="AD7" s="1165"/>
      <c r="AE7" s="1163">
        <v>11</v>
      </c>
    </row>
    <row s="1650" customFormat="1" customHeight="1" ht="4.2">
      <c r="A8" s="1175"/>
      <c r="B8" s="1175"/>
      <c r="C8" s="1175"/>
      <c r="E8" s="1236"/>
      <c r="F8" s="1237"/>
      <c r="G8" s="1237"/>
      <c r="H8" s="1237"/>
      <c r="I8" s="1237"/>
      <c r="J8" s="1237"/>
      <c r="K8" s="1237" t="s">
        <v>1040</v>
      </c>
      <c r="L8" s="1237"/>
      <c r="M8" s="1237"/>
      <c r="N8" s="1237"/>
      <c r="O8" s="1237"/>
      <c r="P8" s="1237"/>
      <c r="Q8" s="1237"/>
      <c r="R8" s="1237"/>
      <c r="S8" s="1236"/>
      <c r="T8" s="1236"/>
      <c r="U8" s="1236"/>
      <c r="V8" s="1236"/>
      <c r="W8" s="1236"/>
      <c r="X8" s="1236"/>
      <c r="Y8" s="1236"/>
      <c r="Z8" s="1236"/>
      <c r="AA8" s="1236"/>
      <c r="AB8" s="1236"/>
      <c r="AC8" s="1236"/>
      <c r="AD8" s="1236"/>
      <c r="AE8" s="519">
        <v>4</v>
      </c>
    </row>
    <row customHeight="1" ht="10.5">
      <c r="E9" s="1178"/>
      <c r="F9" s="2440" t="s">
        <v>317</v>
      </c>
      <c r="G9" s="2441"/>
      <c r="H9" s="2441"/>
      <c r="I9" s="2441"/>
      <c r="J9" s="2441"/>
      <c r="K9" s="2441"/>
      <c r="L9" s="2441"/>
      <c r="M9" s="2441"/>
      <c r="N9" s="2441"/>
      <c r="O9" s="2441"/>
      <c r="P9" s="2441"/>
      <c r="Q9" s="2441"/>
      <c r="R9" s="2441"/>
      <c r="S9" s="1248"/>
      <c r="T9" s="1165"/>
      <c r="U9" s="1165"/>
      <c r="V9" s="1165"/>
      <c r="W9" s="1165"/>
      <c r="X9" s="1165"/>
      <c r="Y9" s="1165"/>
      <c r="Z9" s="1165"/>
      <c r="AA9" s="1165"/>
      <c r="AB9" s="1165"/>
      <c r="AC9" s="1165"/>
      <c r="AD9" s="1165"/>
      <c r="AE9" s="1163">
        <v>10</v>
      </c>
    </row>
    <row customHeight="1" ht="25.2">
      <c r="E10" s="1165"/>
      <c r="F10" s="2444" t="s">
        <v>88</v>
      </c>
      <c r="G10" s="2449" t="s">
        <v>1217</v>
      </c>
      <c r="H10" s="2447" t="s">
        <v>1218</v>
      </c>
      <c r="I10" s="2447"/>
      <c r="J10" s="2447"/>
      <c r="K10" s="2447" t="s">
        <v>1218</v>
      </c>
      <c r="L10" s="2447"/>
      <c r="M10" s="2447"/>
      <c r="N10" s="2447"/>
      <c r="O10" s="2447"/>
      <c r="P10" s="2447"/>
      <c r="Q10" s="2447"/>
      <c r="R10" s="2447"/>
      <c r="S10" s="1241"/>
      <c r="T10" s="1165"/>
      <c r="U10" s="1165"/>
      <c r="V10" s="1165"/>
      <c r="W10" s="1165"/>
      <c r="X10" s="1165"/>
      <c r="Y10" s="1165"/>
      <c r="Z10" s="1165"/>
      <c r="AA10" s="1165"/>
      <c r="AB10" s="1165"/>
      <c r="AC10" s="1165"/>
      <c r="AD10" s="1165"/>
      <c r="AE10" s="1163">
        <v>24</v>
      </c>
    </row>
    <row customHeight="1" ht="25.5">
      <c r="E11" s="1165"/>
      <c r="F11" s="2445"/>
      <c r="G11" s="2449"/>
      <c r="H11" s="2448">
        <f>INDEX(IP_MAIN_LIST_NAME_IP,MATCH(H8,IP_MAIN_LIST_IP_ID,0))&amp;" ("&amp;INDEX(IP_MAIN_START_DATE,MATCH(H8,IP_MAIN_LIST_IP_ID,0))&amp;"-"&amp;INDEX(IP_MAIN_END_DATE,MATCH(H8,IP_MAIN_LIST_IP_ID,0))&amp;")"</f>
      </c>
      <c r="I11" s="2448"/>
      <c r="J11" s="2448"/>
      <c r="K11" s="2448" t="str">
        <f>INDEX(IP_MAIN_LIST_NAME_IP,MATCH(K8,IP_MAIN_LIST_IP_ID,0))&amp;" ("&amp;INDEX(IP_MAIN_START_DATE,MATCH(K8,IP_MAIN_LIST_IP_ID,0))&amp;"-"&amp;INDEX(IP_MAIN_END_DATE,MATCH(K8,IP_MAIN_LIST_IP_ID,0))&amp;")"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(23.12.2024-31.01.2029)</v>
      </c>
      <c r="L11" s="2448"/>
      <c r="M11" s="2448"/>
      <c r="N11" s="2448"/>
      <c r="O11" s="2448"/>
      <c r="P11" s="2448"/>
      <c r="Q11" s="2448"/>
      <c r="R11" s="2448"/>
      <c r="S11" s="1241"/>
      <c r="T11" s="1165"/>
      <c r="U11" s="1165"/>
      <c r="V11" s="1165"/>
      <c r="W11" s="1165"/>
      <c r="X11" s="1165"/>
      <c r="Y11" s="1165"/>
      <c r="Z11" s="1165"/>
      <c r="AA11" s="1165"/>
      <c r="AB11" s="1165"/>
      <c r="AC11" s="1165"/>
      <c r="AD11" s="1165"/>
      <c r="AE11" s="1163">
        <v>24</v>
      </c>
    </row>
    <row customHeight="1" ht="10.5">
      <c r="F12" s="2446"/>
      <c r="G12" s="2449"/>
      <c r="H12" s="1234" t="s">
        <v>1219</v>
      </c>
      <c r="I12" s="1240"/>
      <c r="J12" s="1234"/>
      <c r="K12" s="2449" t="s">
        <v>1219</v>
      </c>
      <c r="L12" s="1240">
        <v>2024</v>
      </c>
      <c r="M12" s="1240">
        <v>2025</v>
      </c>
      <c r="N12" s="1240">
        <v>2026</v>
      </c>
      <c r="O12" s="1240">
        <v>2027</v>
      </c>
      <c r="P12" s="1240">
        <v>2028</v>
      </c>
      <c r="Q12" s="1240">
        <v>2029</v>
      </c>
      <c r="R12" s="2449"/>
      <c r="S12" s="1242"/>
      <c r="AE12" s="1163">
        <v>10</v>
      </c>
    </row>
    <row customHeight="1" ht="10.5" hidden="1">
      <c r="F13" s="1234">
        <v>1</v>
      </c>
      <c r="G13" s="1234">
        <v>2</v>
      </c>
      <c r="H13" s="1234">
        <v>3</v>
      </c>
      <c r="I13" s="1234">
        <v>4</v>
      </c>
      <c r="J13" s="1234">
        <v>5</v>
      </c>
      <c r="K13" s="2449">
        <v>3</v>
      </c>
      <c r="L13" s="2449">
        <v>4</v>
      </c>
      <c r="M13" s="2449">
        <v>4</v>
      </c>
      <c r="N13" s="2449">
        <v>4</v>
      </c>
      <c r="O13" s="2449">
        <v>4</v>
      </c>
      <c r="P13" s="2449">
        <v>4</v>
      </c>
      <c r="Q13" s="2449">
        <v>4</v>
      </c>
      <c r="R13" s="2449">
        <v>5</v>
      </c>
      <c r="S13" s="1242"/>
      <c r="AE13" s="1163">
        <v>0</v>
      </c>
    </row>
    <row customHeight="1" ht="11.549999999999999">
      <c r="F14" s="1233" t="s">
        <v>1220</v>
      </c>
      <c r="G14" s="2442" t="s">
        <v>1221</v>
      </c>
      <c r="H14" s="2442"/>
      <c r="I14" s="2442"/>
      <c r="J14" s="2442"/>
      <c r="K14" s="2442"/>
      <c r="L14" s="2442"/>
      <c r="M14" s="2442"/>
      <c r="N14" s="2442"/>
      <c r="O14" s="2442"/>
      <c r="P14" s="2442"/>
      <c r="Q14" s="2442"/>
      <c r="R14" s="2442"/>
      <c r="S14" s="1242"/>
      <c r="AE14" s="1163">
        <v>11</v>
      </c>
    </row>
    <row customHeight="1" ht="11.549999999999999">
      <c r="F15" s="1238">
        <v>1</v>
      </c>
      <c r="G15" s="698" t="s">
        <v>1222</v>
      </c>
      <c r="H15" s="1244">
        <f>SUM(I15:J15)</f>
        <v>0</v>
      </c>
      <c r="I15" s="1244">
        <f>SUM(I16:I27)</f>
        <v>0</v>
      </c>
      <c r="J15" s="1233"/>
      <c r="K15" s="1244">
        <f>SUM(L15:R15)</f>
        <v>0</v>
      </c>
      <c r="L15" s="1244">
        <f>SUM(L16:L27)</f>
        <v>0</v>
      </c>
      <c r="M15" s="1244">
        <f>SUM(M16:M27)</f>
        <v>0</v>
      </c>
      <c r="N15" s="1244">
        <f>SUM(N16:N27)</f>
        <v>0</v>
      </c>
      <c r="O15" s="1244">
        <f>SUM(O16:O27)</f>
        <v>0</v>
      </c>
      <c r="P15" s="1244">
        <f>SUM(P16:P27)</f>
        <v>0</v>
      </c>
      <c r="Q15" s="1244">
        <f>SUM(Q16:Q27)</f>
        <v>0</v>
      </c>
      <c r="R15" s="2447"/>
      <c r="S15" s="1242"/>
      <c r="AE15" s="1163">
        <v>11</v>
      </c>
    </row>
    <row customHeight="1" ht="24">
      <c r="F16" s="1238" t="s">
        <v>1223</v>
      </c>
      <c r="G16" s="1245" t="s">
        <v>1224</v>
      </c>
      <c r="H16" s="1244">
        <f>SUM(I16:J16)</f>
        <v>0</v>
      </c>
      <c r="I16" s="1243"/>
      <c r="J16" s="1233"/>
      <c r="K16" s="1244">
        <f>SUM(L16:R16)</f>
        <v>0</v>
      </c>
      <c r="L16" s="1243"/>
      <c r="M16" s="1243"/>
      <c r="N16" s="1243"/>
      <c r="O16" s="1243"/>
      <c r="P16" s="1243"/>
      <c r="Q16" s="1243"/>
      <c r="R16" s="2447"/>
      <c r="S16" s="1242"/>
      <c r="AE16" s="1163">
        <v>23</v>
      </c>
    </row>
    <row customHeight="1" ht="24">
      <c r="F17" s="1238" t="s">
        <v>1225</v>
      </c>
      <c r="G17" s="1245" t="s">
        <v>1226</v>
      </c>
      <c r="H17" s="1244">
        <f>SUM(I17:J17)</f>
        <v>0</v>
      </c>
      <c r="I17" s="1243"/>
      <c r="J17" s="1233"/>
      <c r="K17" s="1244">
        <f>SUM(L17:R17)</f>
        <v>0</v>
      </c>
      <c r="L17" s="1243"/>
      <c r="M17" s="1243"/>
      <c r="N17" s="1243"/>
      <c r="O17" s="1243"/>
      <c r="P17" s="1243"/>
      <c r="Q17" s="1243"/>
      <c r="R17" s="2447"/>
      <c r="S17" s="1242"/>
      <c r="AE17" s="1163">
        <v>23</v>
      </c>
    </row>
    <row customHeight="1" ht="35.699999999999996">
      <c r="F18" s="1238" t="s">
        <v>1227</v>
      </c>
      <c r="G18" s="1245" t="s">
        <v>1228</v>
      </c>
      <c r="H18" s="1244">
        <f>SUM(I18:J18)</f>
        <v>0</v>
      </c>
      <c r="I18" s="1243"/>
      <c r="J18" s="1233"/>
      <c r="K18" s="1244">
        <f>SUM(L18:R18)</f>
        <v>0</v>
      </c>
      <c r="L18" s="1243"/>
      <c r="M18" s="1243"/>
      <c r="N18" s="1243"/>
      <c r="O18" s="1243"/>
      <c r="P18" s="1243"/>
      <c r="Q18" s="1243"/>
      <c r="R18" s="2447"/>
      <c r="S18" s="1242"/>
      <c r="AE18" s="1163">
        <v>34</v>
      </c>
    </row>
    <row customHeight="1" ht="35.699999999999996">
      <c r="F19" s="1238" t="s">
        <v>1229</v>
      </c>
      <c r="G19" s="1245" t="s">
        <v>1230</v>
      </c>
      <c r="H19" s="1244">
        <f>SUM(I19:J19)</f>
        <v>0</v>
      </c>
      <c r="I19" s="1243"/>
      <c r="J19" s="1233"/>
      <c r="K19" s="1244">
        <f>SUM(L19:R19)</f>
        <v>0</v>
      </c>
      <c r="L19" s="1243"/>
      <c r="M19" s="1243"/>
      <c r="N19" s="1243"/>
      <c r="O19" s="1243"/>
      <c r="P19" s="1243"/>
      <c r="Q19" s="1243"/>
      <c r="R19" s="2447"/>
      <c r="S19" s="1242"/>
      <c r="AE19" s="1163">
        <v>34</v>
      </c>
    </row>
    <row customHeight="1" ht="48.29999999999999">
      <c r="F20" s="1238" t="s">
        <v>1231</v>
      </c>
      <c r="G20" s="1245" t="s">
        <v>1232</v>
      </c>
      <c r="H20" s="1244">
        <f>SUM(I20:J20)</f>
        <v>0</v>
      </c>
      <c r="I20" s="1243"/>
      <c r="J20" s="1233"/>
      <c r="K20" s="1244">
        <f>SUM(L20:R20)</f>
        <v>0</v>
      </c>
      <c r="L20" s="1243"/>
      <c r="M20" s="1243"/>
      <c r="N20" s="1243"/>
      <c r="O20" s="1243"/>
      <c r="P20" s="1243"/>
      <c r="Q20" s="1243"/>
      <c r="R20" s="2447"/>
      <c r="S20" s="1242"/>
      <c r="AE20" s="1163">
        <v>46</v>
      </c>
    </row>
    <row customHeight="1" ht="35.699999999999996">
      <c r="F21" s="1238" t="s">
        <v>1233</v>
      </c>
      <c r="G21" s="1245" t="s">
        <v>1234</v>
      </c>
      <c r="H21" s="1244">
        <f>SUM(I21:J21)</f>
        <v>0</v>
      </c>
      <c r="I21" s="1243"/>
      <c r="J21" s="1233"/>
      <c r="K21" s="1244">
        <f>SUM(L21:R21)</f>
        <v>0</v>
      </c>
      <c r="L21" s="1243"/>
      <c r="M21" s="1243"/>
      <c r="N21" s="1243"/>
      <c r="O21" s="1243"/>
      <c r="P21" s="1243"/>
      <c r="Q21" s="1243"/>
      <c r="R21" s="2447"/>
      <c r="S21" s="1242"/>
      <c r="AE21" s="1163">
        <v>34</v>
      </c>
    </row>
    <row customHeight="1" ht="35.699999999999996">
      <c r="F22" s="1238" t="s">
        <v>1235</v>
      </c>
      <c r="G22" s="1245" t="s">
        <v>1236</v>
      </c>
      <c r="H22" s="1244">
        <f>SUM(I22:J22)</f>
        <v>0</v>
      </c>
      <c r="I22" s="1243"/>
      <c r="J22" s="1233"/>
      <c r="K22" s="1244">
        <f>SUM(L22:R22)</f>
        <v>0</v>
      </c>
      <c r="L22" s="1243"/>
      <c r="M22" s="1243"/>
      <c r="N22" s="1243"/>
      <c r="O22" s="1243"/>
      <c r="P22" s="1243"/>
      <c r="Q22" s="1243"/>
      <c r="R22" s="2447"/>
      <c r="S22" s="1242"/>
      <c r="AE22" s="1163">
        <v>34</v>
      </c>
    </row>
    <row customHeight="1" ht="24">
      <c r="F23" s="1238" t="s">
        <v>1237</v>
      </c>
      <c r="G23" s="1245" t="s">
        <v>1238</v>
      </c>
      <c r="H23" s="1244">
        <f>SUM(I23:J23)</f>
        <v>0</v>
      </c>
      <c r="I23" s="1243"/>
      <c r="J23" s="1233"/>
      <c r="K23" s="1244">
        <f>SUM(L23:R23)</f>
        <v>0</v>
      </c>
      <c r="L23" s="1243"/>
      <c r="M23" s="1243"/>
      <c r="N23" s="1243"/>
      <c r="O23" s="1243"/>
      <c r="P23" s="1243"/>
      <c r="Q23" s="1243"/>
      <c r="R23" s="2447"/>
      <c r="S23" s="1242"/>
      <c r="AE23" s="1163">
        <v>23</v>
      </c>
    </row>
    <row customHeight="1" ht="24">
      <c r="F24" s="1238" t="s">
        <v>1239</v>
      </c>
      <c r="G24" s="1245" t="s">
        <v>1240</v>
      </c>
      <c r="H24" s="1244">
        <f>SUM(I24:J24)</f>
        <v>0</v>
      </c>
      <c r="I24" s="1243"/>
      <c r="J24" s="1233"/>
      <c r="K24" s="1244">
        <f>SUM(L24:R24)</f>
        <v>0</v>
      </c>
      <c r="L24" s="1243"/>
      <c r="M24" s="1243"/>
      <c r="N24" s="1243"/>
      <c r="O24" s="1243"/>
      <c r="P24" s="1243"/>
      <c r="Q24" s="1243"/>
      <c r="R24" s="2447"/>
      <c r="S24" s="1242"/>
      <c r="AE24" s="1163">
        <v>23</v>
      </c>
    </row>
    <row customHeight="1" ht="35.699999999999996">
      <c r="F25" s="1238" t="s">
        <v>1241</v>
      </c>
      <c r="G25" s="1245" t="s">
        <v>1242</v>
      </c>
      <c r="H25" s="1244">
        <f>SUM(I25:J25)</f>
        <v>0</v>
      </c>
      <c r="I25" s="1243"/>
      <c r="J25" s="1233"/>
      <c r="K25" s="1244">
        <f>SUM(L25:R25)</f>
        <v>0</v>
      </c>
      <c r="L25" s="1243"/>
      <c r="M25" s="1243"/>
      <c r="N25" s="1243"/>
      <c r="O25" s="1243"/>
      <c r="P25" s="1243"/>
      <c r="Q25" s="1243"/>
      <c r="R25" s="2447"/>
      <c r="S25" s="1242"/>
      <c r="AE25" s="1163">
        <v>34</v>
      </c>
    </row>
    <row customHeight="1" ht="35.699999999999996">
      <c r="F26" s="1238" t="s">
        <v>1243</v>
      </c>
      <c r="G26" s="1245" t="s">
        <v>1244</v>
      </c>
      <c r="H26" s="1244">
        <f>SUM(I26:J26)</f>
        <v>0</v>
      </c>
      <c r="I26" s="1243"/>
      <c r="J26" s="1233"/>
      <c r="K26" s="1244">
        <f>SUM(L26:R26)</f>
        <v>0</v>
      </c>
      <c r="L26" s="1243"/>
      <c r="M26" s="1243"/>
      <c r="N26" s="1243"/>
      <c r="O26" s="1243"/>
      <c r="P26" s="1243"/>
      <c r="Q26" s="1243"/>
      <c r="R26" s="2447"/>
      <c r="S26" s="1242"/>
      <c r="AE26" s="1163">
        <v>34</v>
      </c>
    </row>
    <row customHeight="1" ht="11.549999999999999">
      <c r="F27" s="1238" t="s">
        <v>1245</v>
      </c>
      <c r="G27" s="1245" t="s">
        <v>1246</v>
      </c>
      <c r="H27" s="1244">
        <f>SUM(I27:J27)</f>
        <v>0</v>
      </c>
      <c r="I27" s="1243"/>
      <c r="J27" s="1233"/>
      <c r="K27" s="1244">
        <f>SUM(L27:R27)</f>
        <v>0</v>
      </c>
      <c r="L27" s="1243"/>
      <c r="M27" s="1243"/>
      <c r="N27" s="1243"/>
      <c r="O27" s="1243"/>
      <c r="P27" s="1243"/>
      <c r="Q27" s="1243"/>
      <c r="R27" s="2447"/>
      <c r="S27" s="1242"/>
      <c r="AE27" s="1163">
        <v>11</v>
      </c>
    </row>
    <row customHeight="1" ht="11.549999999999999">
      <c r="F28" s="1238">
        <v>2</v>
      </c>
      <c r="G28" s="698" t="s">
        <v>1247</v>
      </c>
      <c r="H28" s="1244">
        <f>SUM(I28:J28)</f>
        <v>0</v>
      </c>
      <c r="I28" s="1244">
        <f>SUM(I29:I31)</f>
        <v>0</v>
      </c>
      <c r="J28" s="1233"/>
      <c r="K28" s="1244">
        <f>SUM(L28:R28)</f>
        <v>0</v>
      </c>
      <c r="L28" s="1244">
        <f>SUM(L29:L31)</f>
        <v>0</v>
      </c>
      <c r="M28" s="1244">
        <f>SUM(M29:M31)</f>
        <v>0</v>
      </c>
      <c r="N28" s="1244">
        <f>SUM(N29:N31)</f>
        <v>0</v>
      </c>
      <c r="O28" s="1244">
        <f>SUM(O29:O31)</f>
        <v>0</v>
      </c>
      <c r="P28" s="1244">
        <f>SUM(P29:P31)</f>
        <v>0</v>
      </c>
      <c r="Q28" s="1244">
        <f>SUM(Q29:Q31)</f>
        <v>0</v>
      </c>
      <c r="R28" s="2447"/>
      <c r="S28" s="1242"/>
      <c r="AE28" s="1163">
        <v>11</v>
      </c>
    </row>
    <row customHeight="1" ht="11.549999999999999">
      <c r="F29" s="1238" t="s">
        <v>735</v>
      </c>
      <c r="G29" s="1245" t="s">
        <v>1248</v>
      </c>
      <c r="H29" s="1244">
        <f>SUM(I29:J29)</f>
        <v>0</v>
      </c>
      <c r="I29" s="1243"/>
      <c r="J29" s="1233"/>
      <c r="K29" s="1244">
        <f>SUM(L29:R29)</f>
        <v>0</v>
      </c>
      <c r="L29" s="1243"/>
      <c r="M29" s="1243"/>
      <c r="N29" s="1243"/>
      <c r="O29" s="1243"/>
      <c r="P29" s="1243"/>
      <c r="Q29" s="1243"/>
      <c r="R29" s="2447"/>
      <c r="S29" s="1242"/>
      <c r="AE29" s="1163">
        <v>11</v>
      </c>
    </row>
    <row customHeight="1" ht="11.549999999999999">
      <c r="F30" s="1238" t="s">
        <v>324</v>
      </c>
      <c r="G30" s="1245" t="s">
        <v>1249</v>
      </c>
      <c r="H30" s="1244">
        <f>SUM(I30:J30)</f>
        <v>0</v>
      </c>
      <c r="I30" s="1243"/>
      <c r="J30" s="1233"/>
      <c r="K30" s="1244">
        <f>SUM(L30:R30)</f>
        <v>0</v>
      </c>
      <c r="L30" s="1243"/>
      <c r="M30" s="1243"/>
      <c r="N30" s="1243"/>
      <c r="O30" s="1243"/>
      <c r="P30" s="1243"/>
      <c r="Q30" s="1243"/>
      <c r="R30" s="2447"/>
      <c r="S30" s="1242"/>
      <c r="AE30" s="1163">
        <v>11</v>
      </c>
    </row>
    <row customHeight="1" ht="11.549999999999999">
      <c r="F31" s="1238" t="s">
        <v>327</v>
      </c>
      <c r="G31" s="1245" t="s">
        <v>1250</v>
      </c>
      <c r="H31" s="1244">
        <f>SUM(I31:J31)</f>
        <v>0</v>
      </c>
      <c r="I31" s="1243"/>
      <c r="J31" s="1233"/>
      <c r="K31" s="1244">
        <f>SUM(L31:R31)</f>
        <v>0</v>
      </c>
      <c r="L31" s="1243"/>
      <c r="M31" s="1243"/>
      <c r="N31" s="1243"/>
      <c r="O31" s="1243"/>
      <c r="P31" s="1243"/>
      <c r="Q31" s="1243"/>
      <c r="R31" s="2447"/>
      <c r="S31" s="1242"/>
      <c r="AE31" s="1163">
        <v>11</v>
      </c>
    </row>
    <row customHeight="1" ht="11.549999999999999">
      <c r="F32" s="1238">
        <v>3</v>
      </c>
      <c r="G32" s="698" t="s">
        <v>1251</v>
      </c>
      <c r="H32" s="1244">
        <f>SUM(I32:J32)</f>
        <v>0</v>
      </c>
      <c r="I32" s="1244">
        <f>SUM(I33:I34)</f>
        <v>0</v>
      </c>
      <c r="J32" s="1233"/>
      <c r="K32" s="1244">
        <f>SUM(L32:R32)</f>
        <v>0</v>
      </c>
      <c r="L32" s="1244">
        <f>SUM(L33:L34)</f>
        <v>0</v>
      </c>
      <c r="M32" s="1244">
        <f>SUM(M33:M34)</f>
        <v>0</v>
      </c>
      <c r="N32" s="1244">
        <f>SUM(N33:N34)</f>
        <v>0</v>
      </c>
      <c r="O32" s="1244">
        <f>SUM(O33:O34)</f>
        <v>0</v>
      </c>
      <c r="P32" s="1244">
        <f>SUM(P33:P34)</f>
        <v>0</v>
      </c>
      <c r="Q32" s="1244">
        <f>SUM(Q33:Q34)</f>
        <v>0</v>
      </c>
      <c r="R32" s="2447"/>
      <c r="S32" s="1242"/>
      <c r="AE32" s="1163">
        <v>11</v>
      </c>
    </row>
    <row customHeight="1" ht="48.29999999999999">
      <c r="F33" s="1238" t="s">
        <v>341</v>
      </c>
      <c r="G33" s="1245" t="s">
        <v>1252</v>
      </c>
      <c r="H33" s="1244">
        <f>SUM(I33:J33)</f>
        <v>0</v>
      </c>
      <c r="I33" s="1243"/>
      <c r="J33" s="1233"/>
      <c r="K33" s="1244">
        <f>SUM(L33:R33)</f>
        <v>0</v>
      </c>
      <c r="L33" s="1243"/>
      <c r="M33" s="1243"/>
      <c r="N33" s="1243"/>
      <c r="O33" s="1243"/>
      <c r="P33" s="1243"/>
      <c r="Q33" s="1243"/>
      <c r="R33" s="2447"/>
      <c r="S33" s="1242"/>
      <c r="AE33" s="1163">
        <v>46</v>
      </c>
    </row>
    <row customHeight="1" ht="11.549999999999999">
      <c r="F34" s="1238" t="s">
        <v>349</v>
      </c>
      <c r="G34" s="1245" t="s">
        <v>1253</v>
      </c>
      <c r="H34" s="1244">
        <f>SUM(I34:J34)</f>
        <v>0</v>
      </c>
      <c r="I34" s="1243"/>
      <c r="J34" s="1233"/>
      <c r="K34" s="1244">
        <f>SUM(L34:R34)</f>
        <v>0</v>
      </c>
      <c r="L34" s="1243"/>
      <c r="M34" s="1243"/>
      <c r="N34" s="1243"/>
      <c r="O34" s="1243"/>
      <c r="P34" s="1243"/>
      <c r="Q34" s="1243"/>
      <c r="R34" s="2447"/>
      <c r="S34" s="1242"/>
      <c r="AE34" s="1163">
        <v>11</v>
      </c>
    </row>
    <row customHeight="1" ht="11.549999999999999">
      <c r="F35" s="1238">
        <v>4</v>
      </c>
      <c r="G35" s="698" t="s">
        <v>1254</v>
      </c>
      <c r="H35" s="1244">
        <f>SUM(I35:J35)</f>
        <v>0</v>
      </c>
      <c r="I35" s="1243"/>
      <c r="J35" s="1233"/>
      <c r="K35" s="1244">
        <f>SUM(L35:R35)</f>
        <v>0</v>
      </c>
      <c r="L35" s="1243"/>
      <c r="M35" s="1243"/>
      <c r="N35" s="1243"/>
      <c r="O35" s="1243"/>
      <c r="P35" s="1243"/>
      <c r="Q35" s="1243"/>
      <c r="R35" s="2447"/>
      <c r="S35" s="1242"/>
      <c r="AE35" s="1163">
        <v>11</v>
      </c>
    </row>
    <row customHeight="1" ht="11.549999999999999">
      <c r="F36" s="1238"/>
      <c r="G36" s="701" t="s">
        <v>1255</v>
      </c>
      <c r="H36" s="1244">
        <f>SUM(I36:J36)</f>
        <v>0</v>
      </c>
      <c r="I36" s="1244">
        <f>SUM(I15,I28,I32,I35)</f>
        <v>0</v>
      </c>
      <c r="J36" s="1233"/>
      <c r="K36" s="1244">
        <f>SUM(L36:R36)</f>
        <v>0</v>
      </c>
      <c r="L36" s="1244">
        <f>SUM(L15,L28,L32,L35)</f>
        <v>0</v>
      </c>
      <c r="M36" s="1244">
        <f>SUM(M15,M28,M32,M35)</f>
        <v>0</v>
      </c>
      <c r="N36" s="1244">
        <f>SUM(N15,N28,N32,N35)</f>
        <v>0</v>
      </c>
      <c r="O36" s="1244">
        <f>SUM(O15,O28,O32,O35)</f>
        <v>0</v>
      </c>
      <c r="P36" s="1244">
        <f>SUM(P15,P28,P32,P35)</f>
        <v>0</v>
      </c>
      <c r="Q36" s="1244">
        <f>SUM(Q15,Q28,Q32,Q35)</f>
        <v>0</v>
      </c>
      <c r="R36" s="2447"/>
      <c r="S36" s="1242"/>
      <c r="AE36" s="1163">
        <v>11</v>
      </c>
    </row>
    <row customHeight="1" ht="29.25">
      <c r="F37" s="1239" t="s">
        <v>1256</v>
      </c>
      <c r="G37" s="2443" t="s">
        <v>1257</v>
      </c>
      <c r="H37" s="2443"/>
      <c r="I37" s="2443"/>
      <c r="J37" s="2443"/>
      <c r="K37" s="2443"/>
      <c r="L37" s="2443"/>
      <c r="M37" s="2443"/>
      <c r="N37" s="2443"/>
      <c r="O37" s="2443"/>
      <c r="P37" s="2443"/>
      <c r="Q37" s="2443"/>
      <c r="R37" s="2443"/>
      <c r="S37" s="1242"/>
      <c r="AE37" s="1163">
        <v>28</v>
      </c>
    </row>
    <row customHeight="1" ht="24">
      <c r="F38" s="1238" t="s">
        <v>118</v>
      </c>
      <c r="G38" s="698" t="s">
        <v>1258</v>
      </c>
      <c r="H38" s="1244">
        <f>SUM(I38:J38)</f>
        <v>0</v>
      </c>
      <c r="I38" s="1244">
        <f>SUM(I39,I44,I47)</f>
        <v>0</v>
      </c>
      <c r="J38" s="1233"/>
      <c r="K38" s="1244">
        <f>SUM(L38:R38)</f>
        <v>0</v>
      </c>
      <c r="L38" s="1244">
        <f>SUM(L39,L44,L47)</f>
        <v>0</v>
      </c>
      <c r="M38" s="1244">
        <f>SUM(M39,M44,M47)</f>
        <v>0</v>
      </c>
      <c r="N38" s="1244">
        <f>SUM(N39,N44,N47)</f>
        <v>0</v>
      </c>
      <c r="O38" s="1244">
        <f>SUM(O39,O44,O47)</f>
        <v>0</v>
      </c>
      <c r="P38" s="1244">
        <f>SUM(P39,P44,P47)</f>
        <v>0</v>
      </c>
      <c r="Q38" s="1244">
        <f>SUM(Q39,Q44,Q47)</f>
        <v>0</v>
      </c>
      <c r="R38" s="2447"/>
      <c r="S38" s="1242"/>
      <c r="AE38" s="1163">
        <v>23</v>
      </c>
    </row>
    <row customHeight="1" ht="11.549999999999999">
      <c r="F39" s="1238" t="s">
        <v>1223</v>
      </c>
      <c r="G39" s="1245" t="s">
        <v>1222</v>
      </c>
      <c r="H39" s="1244">
        <f>SUM(I39:J39)</f>
        <v>0</v>
      </c>
      <c r="I39" s="1244">
        <f>SUM(I40:I43)</f>
        <v>0</v>
      </c>
      <c r="J39" s="1233"/>
      <c r="K39" s="1244">
        <f>SUM(L39:R39)</f>
        <v>0</v>
      </c>
      <c r="L39" s="1244">
        <f>SUM(L40:L43)</f>
        <v>0</v>
      </c>
      <c r="M39" s="1244">
        <f>SUM(M40:M43)</f>
        <v>0</v>
      </c>
      <c r="N39" s="1244">
        <f>SUM(N40:N43)</f>
        <v>0</v>
      </c>
      <c r="O39" s="1244">
        <f>SUM(O40:O43)</f>
        <v>0</v>
      </c>
      <c r="P39" s="1244">
        <f>SUM(P40:P43)</f>
        <v>0</v>
      </c>
      <c r="Q39" s="1244">
        <f>SUM(Q40:Q43)</f>
        <v>0</v>
      </c>
      <c r="R39" s="2447"/>
      <c r="S39" s="1242"/>
      <c r="AE39" s="1163">
        <v>11</v>
      </c>
    </row>
    <row customHeight="1" ht="24">
      <c r="F40" s="1238" t="s">
        <v>1259</v>
      </c>
      <c r="G40" s="1246" t="s">
        <v>1260</v>
      </c>
      <c r="H40" s="1244">
        <f>SUM(I40:J40)</f>
        <v>0</v>
      </c>
      <c r="I40" s="1243"/>
      <c r="J40" s="1233"/>
      <c r="K40" s="1244">
        <f>SUM(L40:R40)</f>
        <v>0</v>
      </c>
      <c r="L40" s="1243"/>
      <c r="M40" s="1243"/>
      <c r="N40" s="1243"/>
      <c r="O40" s="1243"/>
      <c r="P40" s="1243"/>
      <c r="Q40" s="1243"/>
      <c r="R40" s="2447"/>
      <c r="S40" s="1242"/>
      <c r="AE40" s="1163">
        <v>23</v>
      </c>
    </row>
    <row customHeight="1" ht="11.549999999999999">
      <c r="F41" s="1238" t="s">
        <v>1261</v>
      </c>
      <c r="G41" s="1246" t="s">
        <v>1262</v>
      </c>
      <c r="H41" s="1244">
        <f>SUM(I41:J41)</f>
        <v>0</v>
      </c>
      <c r="I41" s="1243"/>
      <c r="J41" s="1233"/>
      <c r="K41" s="1244">
        <f>SUM(L41:R41)</f>
        <v>0</v>
      </c>
      <c r="L41" s="1243"/>
      <c r="M41" s="1243"/>
      <c r="N41" s="1243"/>
      <c r="O41" s="1243"/>
      <c r="P41" s="1243"/>
      <c r="Q41" s="1243"/>
      <c r="R41" s="2447"/>
      <c r="S41" s="1242"/>
      <c r="AE41" s="1163">
        <v>11</v>
      </c>
    </row>
    <row customHeight="1" ht="11.549999999999999">
      <c r="F42" s="1238" t="s">
        <v>1263</v>
      </c>
      <c r="G42" s="1246" t="s">
        <v>1264</v>
      </c>
      <c r="H42" s="1244">
        <f>SUM(I42:J42)</f>
        <v>0</v>
      </c>
      <c r="I42" s="1243"/>
      <c r="J42" s="1233"/>
      <c r="K42" s="1244">
        <f>SUM(L42:R42)</f>
        <v>0</v>
      </c>
      <c r="L42" s="1243"/>
      <c r="M42" s="1243"/>
      <c r="N42" s="1243"/>
      <c r="O42" s="1243"/>
      <c r="P42" s="1243"/>
      <c r="Q42" s="1243"/>
      <c r="R42" s="2447"/>
      <c r="S42" s="1242"/>
      <c r="AE42" s="1163">
        <v>11</v>
      </c>
    </row>
    <row customHeight="1" ht="35.699999999999996">
      <c r="F43" s="1238" t="s">
        <v>1265</v>
      </c>
      <c r="G43" s="1246" t="s">
        <v>1266</v>
      </c>
      <c r="H43" s="1244">
        <f>SUM(I43:J43)</f>
        <v>0</v>
      </c>
      <c r="I43" s="1243"/>
      <c r="J43" s="1233"/>
      <c r="K43" s="1244">
        <f>SUM(L43:R43)</f>
        <v>0</v>
      </c>
      <c r="L43" s="1243"/>
      <c r="M43" s="1243"/>
      <c r="N43" s="1243"/>
      <c r="O43" s="1243"/>
      <c r="P43" s="1243"/>
      <c r="Q43" s="1243"/>
      <c r="R43" s="2447"/>
      <c r="S43" s="1242"/>
      <c r="AE43" s="1163">
        <v>34</v>
      </c>
    </row>
    <row customHeight="1" ht="11.549999999999999">
      <c r="F44" s="1238" t="s">
        <v>1225</v>
      </c>
      <c r="G44" s="1245" t="s">
        <v>1251</v>
      </c>
      <c r="H44" s="1244">
        <f>SUM(I44:J44)</f>
        <v>0</v>
      </c>
      <c r="I44" s="1244">
        <f>SUM(I45:I46)</f>
        <v>0</v>
      </c>
      <c r="J44" s="1233"/>
      <c r="K44" s="1244">
        <f>SUM(L44:R44)</f>
        <v>0</v>
      </c>
      <c r="L44" s="1244">
        <f>SUM(L45:L46)</f>
        <v>0</v>
      </c>
      <c r="M44" s="1244">
        <f>SUM(M45:M46)</f>
        <v>0</v>
      </c>
      <c r="N44" s="1244">
        <f>SUM(N45:N46)</f>
        <v>0</v>
      </c>
      <c r="O44" s="1244">
        <f>SUM(O45:O46)</f>
        <v>0</v>
      </c>
      <c r="P44" s="1244">
        <f>SUM(P45:P46)</f>
        <v>0</v>
      </c>
      <c r="Q44" s="1244">
        <f>SUM(Q45:Q46)</f>
        <v>0</v>
      </c>
      <c r="R44" s="2447"/>
      <c r="S44" s="1242"/>
      <c r="AE44" s="1163">
        <v>11</v>
      </c>
    </row>
    <row customHeight="1" ht="48.29999999999999">
      <c r="F45" s="1238" t="s">
        <v>1267</v>
      </c>
      <c r="G45" s="1246" t="s">
        <v>1252</v>
      </c>
      <c r="H45" s="1244">
        <f>SUM(I45:J45)</f>
        <v>0</v>
      </c>
      <c r="I45" s="1243"/>
      <c r="J45" s="1233"/>
      <c r="K45" s="1244">
        <f>SUM(L45:R45)</f>
        <v>0</v>
      </c>
      <c r="L45" s="1243"/>
      <c r="M45" s="1243"/>
      <c r="N45" s="1243"/>
      <c r="O45" s="1243"/>
      <c r="P45" s="1243"/>
      <c r="Q45" s="1243"/>
      <c r="R45" s="2447"/>
      <c r="S45" s="1242"/>
      <c r="AE45" s="1163">
        <v>46</v>
      </c>
    </row>
    <row customHeight="1" ht="11.549999999999999">
      <c r="F46" s="1238" t="s">
        <v>1268</v>
      </c>
      <c r="G46" s="1246" t="s">
        <v>1253</v>
      </c>
      <c r="H46" s="1244">
        <f>SUM(I46:J46)</f>
        <v>0</v>
      </c>
      <c r="I46" s="1243"/>
      <c r="J46" s="1233"/>
      <c r="K46" s="1244">
        <f>SUM(L46:R46)</f>
        <v>0</v>
      </c>
      <c r="L46" s="1243"/>
      <c r="M46" s="1243"/>
      <c r="N46" s="1243"/>
      <c r="O46" s="1243"/>
      <c r="P46" s="1243"/>
      <c r="Q46" s="1243"/>
      <c r="R46" s="2447"/>
      <c r="S46" s="1242"/>
      <c r="AE46" s="1163">
        <v>11</v>
      </c>
    </row>
    <row customHeight="1" ht="11.549999999999999">
      <c r="F47" s="1238" t="s">
        <v>1227</v>
      </c>
      <c r="G47" s="1245" t="s">
        <v>1269</v>
      </c>
      <c r="H47" s="1244">
        <f>SUM(I47:J47)</f>
        <v>0</v>
      </c>
      <c r="I47" s="1243"/>
      <c r="J47" s="1233"/>
      <c r="K47" s="1244">
        <f>SUM(L47:R47)</f>
        <v>0</v>
      </c>
      <c r="L47" s="1243"/>
      <c r="M47" s="1243"/>
      <c r="N47" s="1243"/>
      <c r="O47" s="1243"/>
      <c r="P47" s="1243"/>
      <c r="Q47" s="1243"/>
      <c r="R47" s="2447"/>
      <c r="S47" s="1242"/>
      <c r="AE47" s="1163">
        <v>11</v>
      </c>
    </row>
    <row customHeight="1" ht="24">
      <c r="F48" s="1238" t="s">
        <v>102</v>
      </c>
      <c r="G48" s="698" t="s">
        <v>1270</v>
      </c>
      <c r="H48" s="1244">
        <f>SUM(I48:J48)</f>
        <v>0</v>
      </c>
      <c r="I48" s="1244">
        <f>SUM(I49,I54,I57)</f>
        <v>0</v>
      </c>
      <c r="J48" s="1233"/>
      <c r="K48" s="1244">
        <f>SUM(L48:R48)</f>
        <v>0</v>
      </c>
      <c r="L48" s="1244">
        <f>SUM(L49,L54,L57)</f>
        <v>0</v>
      </c>
      <c r="M48" s="1244">
        <f>SUM(M49,M54,M57)</f>
        <v>0</v>
      </c>
      <c r="N48" s="1244">
        <f>SUM(N49,N54,N57)</f>
        <v>0</v>
      </c>
      <c r="O48" s="1244">
        <f>SUM(O49,O54,O57)</f>
        <v>0</v>
      </c>
      <c r="P48" s="1244">
        <f>SUM(P49,P54,P57)</f>
        <v>0</v>
      </c>
      <c r="Q48" s="1244">
        <f>SUM(Q49,Q54,Q57)</f>
        <v>0</v>
      </c>
      <c r="R48" s="2447"/>
      <c r="S48" s="1242"/>
      <c r="AE48" s="1163">
        <v>23</v>
      </c>
    </row>
    <row customHeight="1" ht="11.549999999999999">
      <c r="F49" s="1238" t="s">
        <v>735</v>
      </c>
      <c r="G49" s="1245" t="s">
        <v>1222</v>
      </c>
      <c r="H49" s="1244">
        <f>SUM(I49:J49)</f>
        <v>0</v>
      </c>
      <c r="I49" s="1244">
        <f>SUM(I50:I53)</f>
        <v>0</v>
      </c>
      <c r="J49" s="1233"/>
      <c r="K49" s="1244">
        <f>SUM(L49:R49)</f>
        <v>0</v>
      </c>
      <c r="L49" s="1244">
        <f>SUM(L50:L53)</f>
        <v>0</v>
      </c>
      <c r="M49" s="1244">
        <f>SUM(M50:M53)</f>
        <v>0</v>
      </c>
      <c r="N49" s="1244">
        <f>SUM(N50:N53)</f>
        <v>0</v>
      </c>
      <c r="O49" s="1244">
        <f>SUM(O50:O53)</f>
        <v>0</v>
      </c>
      <c r="P49" s="1244">
        <f>SUM(P50:P53)</f>
        <v>0</v>
      </c>
      <c r="Q49" s="1244">
        <f>SUM(Q50:Q53)</f>
        <v>0</v>
      </c>
      <c r="R49" s="2447"/>
      <c r="S49" s="1242"/>
      <c r="AE49" s="1163">
        <v>11</v>
      </c>
    </row>
    <row customHeight="1" ht="24">
      <c r="F50" s="1238" t="s">
        <v>738</v>
      </c>
      <c r="G50" s="1246" t="s">
        <v>1260</v>
      </c>
      <c r="H50" s="1244">
        <f>SUM(I50:J50)</f>
        <v>0</v>
      </c>
      <c r="I50" s="1243"/>
      <c r="J50" s="1233"/>
      <c r="K50" s="1244">
        <f>SUM(L50:R50)</f>
        <v>0</v>
      </c>
      <c r="L50" s="1243"/>
      <c r="M50" s="1243"/>
      <c r="N50" s="1243"/>
      <c r="O50" s="1243"/>
      <c r="P50" s="1243"/>
      <c r="Q50" s="1243"/>
      <c r="R50" s="2447"/>
      <c r="S50" s="1242"/>
      <c r="AE50" s="1163">
        <v>23</v>
      </c>
    </row>
    <row customHeight="1" ht="11.549999999999999">
      <c r="F51" s="1238" t="s">
        <v>741</v>
      </c>
      <c r="G51" s="1246" t="s">
        <v>1262</v>
      </c>
      <c r="H51" s="1244">
        <f>SUM(I51:J51)</f>
        <v>0</v>
      </c>
      <c r="I51" s="1243"/>
      <c r="J51" s="1233"/>
      <c r="K51" s="1244">
        <f>SUM(L51:R51)</f>
        <v>0</v>
      </c>
      <c r="L51" s="1243"/>
      <c r="M51" s="1243"/>
      <c r="N51" s="1243"/>
      <c r="O51" s="1243"/>
      <c r="P51" s="1243"/>
      <c r="Q51" s="1243"/>
      <c r="R51" s="2447"/>
      <c r="S51" s="1242"/>
      <c r="AE51" s="1163">
        <v>11</v>
      </c>
    </row>
    <row customHeight="1" ht="11.549999999999999">
      <c r="F52" s="1238" t="s">
        <v>1271</v>
      </c>
      <c r="G52" s="1246" t="s">
        <v>1264</v>
      </c>
      <c r="H52" s="1244">
        <f>SUM(I52:J52)</f>
        <v>0</v>
      </c>
      <c r="I52" s="1243"/>
      <c r="J52" s="1233"/>
      <c r="K52" s="1244">
        <f>SUM(L52:R52)</f>
        <v>0</v>
      </c>
      <c r="L52" s="1243"/>
      <c r="M52" s="1243"/>
      <c r="N52" s="1243"/>
      <c r="O52" s="1243"/>
      <c r="P52" s="1243"/>
      <c r="Q52" s="1243"/>
      <c r="R52" s="2447"/>
      <c r="S52" s="1242"/>
      <c r="AE52" s="1163">
        <v>11</v>
      </c>
    </row>
    <row customHeight="1" ht="35.699999999999996">
      <c r="F53" s="1238" t="s">
        <v>1272</v>
      </c>
      <c r="G53" s="1246" t="s">
        <v>1266</v>
      </c>
      <c r="H53" s="1244">
        <f>SUM(I53:J53)</f>
        <v>0</v>
      </c>
      <c r="I53" s="1243"/>
      <c r="J53" s="1233"/>
      <c r="K53" s="1244">
        <f>SUM(L53:R53)</f>
        <v>0</v>
      </c>
      <c r="L53" s="1243"/>
      <c r="M53" s="1243"/>
      <c r="N53" s="1243"/>
      <c r="O53" s="1243"/>
      <c r="P53" s="1243"/>
      <c r="Q53" s="1243"/>
      <c r="R53" s="2447"/>
      <c r="S53" s="1242"/>
      <c r="AE53" s="1163">
        <v>34</v>
      </c>
    </row>
    <row customHeight="1" ht="11.549999999999999">
      <c r="F54" s="1238" t="s">
        <v>324</v>
      </c>
      <c r="G54" s="1245" t="s">
        <v>1251</v>
      </c>
      <c r="H54" s="1244">
        <f>SUM(I54:J54)</f>
        <v>0</v>
      </c>
      <c r="I54" s="1244">
        <f>SUM(I55:I56)</f>
        <v>0</v>
      </c>
      <c r="J54" s="1233"/>
      <c r="K54" s="1244">
        <f>SUM(L54:R54)</f>
        <v>0</v>
      </c>
      <c r="L54" s="1244">
        <f>SUM(L55:L56)</f>
        <v>0</v>
      </c>
      <c r="M54" s="1244">
        <f>SUM(M55:M56)</f>
        <v>0</v>
      </c>
      <c r="N54" s="1244">
        <f>SUM(N55:N56)</f>
        <v>0</v>
      </c>
      <c r="O54" s="1244">
        <f>SUM(O55:O56)</f>
        <v>0</v>
      </c>
      <c r="P54" s="1244">
        <f>SUM(P55:P56)</f>
        <v>0</v>
      </c>
      <c r="Q54" s="1244">
        <f>SUM(Q55:Q56)</f>
        <v>0</v>
      </c>
      <c r="R54" s="2447"/>
      <c r="S54" s="1242"/>
      <c r="AE54" s="1163">
        <v>11</v>
      </c>
    </row>
    <row customHeight="1" ht="48.29999999999999">
      <c r="F55" s="1238" t="s">
        <v>745</v>
      </c>
      <c r="G55" s="1246" t="s">
        <v>1252</v>
      </c>
      <c r="H55" s="1244">
        <f>SUM(I55:J55)</f>
        <v>0</v>
      </c>
      <c r="I55" s="1243"/>
      <c r="J55" s="1233"/>
      <c r="K55" s="1244">
        <f>SUM(L55:R55)</f>
        <v>0</v>
      </c>
      <c r="L55" s="1243"/>
      <c r="M55" s="1243"/>
      <c r="N55" s="1243"/>
      <c r="O55" s="1243"/>
      <c r="P55" s="1243"/>
      <c r="Q55" s="1243"/>
      <c r="R55" s="2447"/>
      <c r="S55" s="1242"/>
      <c r="AE55" s="1163">
        <v>46</v>
      </c>
    </row>
    <row customHeight="1" ht="11.549999999999999">
      <c r="F56" s="1238" t="s">
        <v>747</v>
      </c>
      <c r="G56" s="1246" t="s">
        <v>1253</v>
      </c>
      <c r="H56" s="1244">
        <f>SUM(I56:J56)</f>
        <v>0</v>
      </c>
      <c r="I56" s="1243"/>
      <c r="J56" s="1233"/>
      <c r="K56" s="1244">
        <f>SUM(L56:R56)</f>
        <v>0</v>
      </c>
      <c r="L56" s="1243"/>
      <c r="M56" s="1243"/>
      <c r="N56" s="1243"/>
      <c r="O56" s="1243"/>
      <c r="P56" s="1243"/>
      <c r="Q56" s="1243"/>
      <c r="R56" s="2447"/>
      <c r="S56" s="1242"/>
      <c r="AE56" s="1163">
        <v>11</v>
      </c>
    </row>
    <row customHeight="1" ht="11.549999999999999">
      <c r="F57" s="1238" t="s">
        <v>327</v>
      </c>
      <c r="G57" s="1245" t="s">
        <v>1269</v>
      </c>
      <c r="H57" s="1244">
        <f>SUM(I57:J57)</f>
        <v>0</v>
      </c>
      <c r="I57" s="1243"/>
      <c r="J57" s="1233"/>
      <c r="K57" s="1244">
        <f>SUM(L57:R57)</f>
        <v>0</v>
      </c>
      <c r="L57" s="1243"/>
      <c r="M57" s="1243"/>
      <c r="N57" s="1243"/>
      <c r="O57" s="1243"/>
      <c r="P57" s="1243"/>
      <c r="Q57" s="1243"/>
      <c r="R57" s="2447"/>
      <c r="S57" s="1242"/>
      <c r="AE57" s="1163">
        <v>11</v>
      </c>
    </row>
    <row customHeight="1" ht="11.549999999999999">
      <c r="F58" s="1238"/>
      <c r="G58" s="1247" t="s">
        <v>1255</v>
      </c>
      <c r="H58" s="1244">
        <f>SUM(I58:J58)</f>
        <v>0</v>
      </c>
      <c r="I58" s="1244">
        <f>SUM(I38,I48)</f>
        <v>0</v>
      </c>
      <c r="J58" s="1233"/>
      <c r="K58" s="1244">
        <f>SUM(L58:R58)</f>
        <v>0</v>
      </c>
      <c r="L58" s="1244">
        <f>SUM(L38,L48)</f>
        <v>0</v>
      </c>
      <c r="M58" s="1244">
        <f>SUM(M38,M48)</f>
        <v>0</v>
      </c>
      <c r="N58" s="1244">
        <f>SUM(N38,N48)</f>
        <v>0</v>
      </c>
      <c r="O58" s="1244">
        <f>SUM(O38,O48)</f>
        <v>0</v>
      </c>
      <c r="P58" s="1244">
        <f>SUM(P38,P48)</f>
        <v>0</v>
      </c>
      <c r="Q58" s="1244">
        <f>SUM(Q38,Q48)</f>
        <v>0</v>
      </c>
      <c r="R58" s="2447"/>
      <c r="S58" s="1242"/>
      <c r="AE58" s="1163">
        <v>11</v>
      </c>
    </row>
    <row customHeight="1" ht="10.5" hidden="1">
      <c r="A59" s="1174" t="s">
        <v>82</v>
      </c>
      <c r="B59" s="1174">
        <v>0</v>
      </c>
      <c r="C59" s="1174">
        <v>0</v>
      </c>
      <c r="D59" s="1168">
        <v>0</v>
      </c>
      <c r="E59" s="517">
        <v>3</v>
      </c>
      <c r="F59" s="1163">
        <v>6</v>
      </c>
      <c r="G59" s="1163">
        <v>60</v>
      </c>
      <c r="H59" s="1163">
        <v>0</v>
      </c>
      <c r="I59" s="1163">
        <v>0</v>
      </c>
      <c r="J59" s="1163">
        <v>0</v>
      </c>
      <c r="K59" s="1643">
        <v>0</v>
      </c>
      <c r="L59" s="1643">
        <v>0</v>
      </c>
      <c r="M59" s="1643">
        <v>0</v>
      </c>
      <c r="N59" s="1643">
        <v>0</v>
      </c>
      <c r="O59" s="1643">
        <v>0</v>
      </c>
      <c r="P59" s="1643">
        <v>0</v>
      </c>
      <c r="Q59" s="1643">
        <v>0</v>
      </c>
      <c r="R59" s="1643">
        <v>0</v>
      </c>
      <c r="S59" s="1163">
        <v>1</v>
      </c>
      <c r="T59" s="1163">
        <v>8</v>
      </c>
      <c r="U59" s="1163">
        <v>8</v>
      </c>
      <c r="V59" s="1163">
        <v>8</v>
      </c>
      <c r="W59" s="1163">
        <v>8</v>
      </c>
      <c r="X59" s="1163">
        <v>8</v>
      </c>
      <c r="Y59" s="1163">
        <v>8</v>
      </c>
      <c r="Z59" s="1163">
        <v>8</v>
      </c>
      <c r="AA59" s="1163">
        <v>8</v>
      </c>
      <c r="AB59" s="1163">
        <v>8</v>
      </c>
      <c r="AC59" s="1163">
        <v>8</v>
      </c>
      <c r="AD59" s="1163">
        <v>8</v>
      </c>
      <c r="AE59" s="1163">
        <v>10</v>
      </c>
    </row>
  </sheetData>
  <sheetProtection sheet="1" formatColumns="0" formatRows="0" autoFilter="0" sort="1" insertRows="1" insertColumns="1" deleteRows="1" deleteColumns="1"/>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6524F-2A92-8A74-6F6B-5B9A6D2F98D3}" mc:Ignorable="x14ac xr xr2 xr3">
  <sheetPr>
    <tabColor theme="9" tint="-0.25"/>
  </sheetPr>
  <dimension ref="A1:GC28"/>
  <sheetViews>
    <sheetView showGridLines="0" zoomScale="90" workbookViewId="0">
      <pane xSplit="14" ySplit="17" topLeftCell="O21" activePane="bottomRight" state="frozen"/>
      <selection pane="bottomLeft" activeCell="A18" sqref="A18"/>
      <selection pane="topRight" activeCell="O1" sqref="O1"/>
      <selection pane="bottomRight" activeCell="I22" sqref="I22"/>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78" customFormat="1" customHeight="1" ht="27.299999999999997">
      <c r="B5" s="1877"/>
      <c r="E5" s="1879"/>
      <c r="F5" s="245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8">
        <v>26</v>
      </c>
    </row>
    <row s="2159" customFormat="1" customHeight="1" ht="18.75">
      <c r="B6" s="951"/>
      <c r="E6" s="953"/>
      <c r="F6" s="2235" t="str">
        <f>IF(org=0,"Не определено",org)</f>
        <v>АО "ДГК"</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71" t="s">
        <v>1273</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1274</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69"/>
      <c r="FX9" s="1064"/>
      <c r="GC9" s="941">
        <v>0</v>
      </c>
    </row>
    <row s="941" customFormat="1" customHeight="1" ht="11.549999999999999">
      <c r="B10" s="942"/>
      <c r="F10" s="2450" t="s">
        <v>317</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64"/>
      <c r="GC10" s="941">
        <v>11</v>
      </c>
    </row>
    <row customHeight="1" ht="12.75">
      <c r="E11" s="945"/>
      <c r="F11" s="2226" t="s">
        <v>88</v>
      </c>
      <c r="G11" s="2226" t="s">
        <v>1275</v>
      </c>
      <c r="H11" s="2458" t="s">
        <v>1276</v>
      </c>
      <c r="I11" s="2458" t="s">
        <v>1277</v>
      </c>
      <c r="J11" s="2459"/>
      <c r="K11" s="2459"/>
      <c r="L11" s="2459"/>
      <c r="M11" s="2459"/>
      <c r="N11" s="2459"/>
      <c r="O11" s="2230" t="s">
        <v>1278</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1278</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1278</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70"/>
      <c r="GC11" s="934">
        <v>12</v>
      </c>
    </row>
    <row customHeight="1" ht="12.75">
      <c r="D12" s="946"/>
      <c r="E12" s="945"/>
      <c r="F12" s="2226"/>
      <c r="G12" s="2226"/>
      <c r="H12" s="2458"/>
      <c r="I12" s="2458"/>
      <c r="J12" s="2459"/>
      <c r="K12" s="2459"/>
      <c r="L12" s="2459"/>
      <c r="M12" s="2459"/>
      <c r="N12" s="2459"/>
      <c r="O12" s="2230" t="s">
        <v>1279</v>
      </c>
      <c r="P12" s="2230"/>
      <c r="Q12" s="2230"/>
      <c r="R12" s="2230"/>
      <c r="S12" s="2230" t="s">
        <v>1280</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1281</v>
      </c>
      <c r="BU12" s="2408"/>
      <c r="BV12" s="2408"/>
      <c r="BW12" s="2454"/>
      <c r="BX12" s="2407" t="s">
        <v>1282</v>
      </c>
      <c r="BY12" s="2408"/>
      <c r="BZ12" s="2408"/>
      <c r="CA12" s="2454"/>
      <c r="CB12" s="2407" t="s">
        <v>1283</v>
      </c>
      <c r="CC12" s="2454"/>
      <c r="CD12" s="2407" t="s">
        <v>1284</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1285</v>
      </c>
      <c r="CZ12" s="2408"/>
      <c r="DA12" s="2408"/>
      <c r="DB12" s="2408"/>
      <c r="DC12" s="2408"/>
      <c r="DD12" s="2454"/>
      <c r="DE12" s="2407" t="s">
        <v>1286</v>
      </c>
      <c r="DF12" s="2454"/>
      <c r="DG12" s="2407" t="s">
        <v>1284</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70"/>
      <c r="GC12" s="934">
        <v>12</v>
      </c>
    </row>
    <row customHeight="1" ht="37.8">
      <c r="D13" s="946"/>
      <c r="E13" s="945"/>
      <c r="F13" s="2226"/>
      <c r="G13" s="2226"/>
      <c r="H13" s="2458"/>
      <c r="I13" s="2458"/>
      <c r="J13" s="2459"/>
      <c r="K13" s="2459"/>
      <c r="L13" s="2459"/>
      <c r="M13" s="2459"/>
      <c r="N13" s="2459"/>
      <c r="O13" s="2230" t="s">
        <v>1287</v>
      </c>
      <c r="P13" s="2230"/>
      <c r="Q13" s="2230"/>
      <c r="R13" s="2230"/>
      <c r="S13" s="2357" t="s">
        <v>1288</v>
      </c>
      <c r="T13" s="2409"/>
      <c r="U13" s="2148" t="s">
        <v>1289</v>
      </c>
      <c r="V13" s="2148"/>
      <c r="W13" s="2148"/>
      <c r="X13" s="2148"/>
      <c r="Y13" s="2148" t="s">
        <v>1290</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1291</v>
      </c>
      <c r="BU13" s="2409"/>
      <c r="BV13" s="2357" t="s">
        <v>1292</v>
      </c>
      <c r="BW13" s="2409"/>
      <c r="BX13" s="2357" t="s">
        <v>1293</v>
      </c>
      <c r="BY13" s="2409"/>
      <c r="BZ13" s="2357" t="s">
        <v>1294</v>
      </c>
      <c r="CA13" s="2409"/>
      <c r="CB13" s="2357" t="s">
        <v>1295</v>
      </c>
      <c r="CC13" s="2409"/>
      <c r="CD13" s="2357" t="s">
        <v>1296</v>
      </c>
      <c r="CE13" s="2409"/>
      <c r="CF13" s="2357" t="s">
        <v>1297</v>
      </c>
      <c r="CG13" s="2409"/>
      <c r="CH13" s="2407" t="s">
        <v>1298</v>
      </c>
      <c r="CI13" s="2408"/>
      <c r="CJ13" s="2408"/>
      <c r="CK13" s="2454"/>
      <c r="CL13" s="2457"/>
      <c r="CM13" s="2455"/>
      <c r="CN13" s="2455"/>
      <c r="CO13" s="2455"/>
      <c r="CP13" s="2455"/>
      <c r="CQ13" s="2455"/>
      <c r="CR13" s="2455"/>
      <c r="CS13" s="2455"/>
      <c r="CT13" s="2455"/>
      <c r="CU13" s="2455"/>
      <c r="CV13" s="2455"/>
      <c r="CW13" s="2455"/>
      <c r="CX13" s="2474"/>
      <c r="CY13" s="2357" t="s">
        <v>1299</v>
      </c>
      <c r="CZ13" s="2409"/>
      <c r="DA13" s="2357" t="s">
        <v>1300</v>
      </c>
      <c r="DB13" s="2409"/>
      <c r="DC13" s="2357" t="s">
        <v>1301</v>
      </c>
      <c r="DD13" s="2409"/>
      <c r="DE13" s="2357" t="s">
        <v>1302</v>
      </c>
      <c r="DF13" s="2409"/>
      <c r="DG13" s="2407" t="s">
        <v>1303</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70"/>
      <c r="GC13" s="934">
        <v>36</v>
      </c>
    </row>
    <row customHeight="1" ht="37.8">
      <c r="D14" s="946"/>
      <c r="E14" s="945"/>
      <c r="F14" s="2226"/>
      <c r="G14" s="2226"/>
      <c r="H14" s="2458"/>
      <c r="I14" s="2458"/>
      <c r="J14" s="2459"/>
      <c r="K14" s="2459"/>
      <c r="L14" s="2459"/>
      <c r="M14" s="2459"/>
      <c r="N14" s="2459"/>
      <c r="O14" s="2357" t="s">
        <v>1304</v>
      </c>
      <c r="P14" s="2409"/>
      <c r="Q14" s="2357" t="s">
        <v>1305</v>
      </c>
      <c r="R14" s="2409"/>
      <c r="S14" s="2358"/>
      <c r="T14" s="2234"/>
      <c r="U14" s="2357" t="s">
        <v>881</v>
      </c>
      <c r="V14" s="2409"/>
      <c r="W14" s="2357" t="s">
        <v>884</v>
      </c>
      <c r="X14" s="2409"/>
      <c r="Y14" s="2357" t="s">
        <v>881</v>
      </c>
      <c r="Z14" s="2409"/>
      <c r="AA14" s="2357" t="s">
        <v>891</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1306</v>
      </c>
      <c r="CI14" s="2409"/>
      <c r="CJ14" s="2357" t="s">
        <v>1307</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1308</v>
      </c>
      <c r="DH14" s="2409"/>
      <c r="DI14" s="2357" t="s">
        <v>1309</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70"/>
      <c r="GC14" s="934">
        <v>36</v>
      </c>
    </row>
    <row customHeight="1" ht="37.8">
      <c r="D15" s="946"/>
      <c r="E15" s="945"/>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70"/>
      <c r="GC15" s="934">
        <v>36</v>
      </c>
    </row>
    <row customHeight="1" ht="12.75">
      <c r="D16" s="946"/>
      <c r="E16" s="945"/>
      <c r="F16" s="2226"/>
      <c r="G16" s="2226"/>
      <c r="H16" s="2458"/>
      <c r="I16" s="2458"/>
      <c r="J16" s="2459"/>
      <c r="K16" s="2459"/>
      <c r="L16" s="2459"/>
      <c r="M16" s="2459"/>
      <c r="N16" s="2459"/>
      <c r="O16" s="2407" t="s">
        <v>871</v>
      </c>
      <c r="P16" s="2454"/>
      <c r="Q16" s="2407" t="s">
        <v>873</v>
      </c>
      <c r="R16" s="2454"/>
      <c r="S16" s="2407" t="s">
        <v>877</v>
      </c>
      <c r="T16" s="2454"/>
      <c r="U16" s="2407" t="s">
        <v>882</v>
      </c>
      <c r="V16" s="2454"/>
      <c r="W16" s="2407" t="s">
        <v>885</v>
      </c>
      <c r="X16" s="2454"/>
      <c r="Y16" s="2407" t="s">
        <v>889</v>
      </c>
      <c r="Z16" s="2454"/>
      <c r="AA16" s="2407" t="s">
        <v>892</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575</v>
      </c>
      <c r="BU16" s="2454"/>
      <c r="BV16" s="2407" t="s">
        <v>575</v>
      </c>
      <c r="BW16" s="2454"/>
      <c r="BX16" s="2407" t="s">
        <v>575</v>
      </c>
      <c r="BY16" s="2454"/>
      <c r="BZ16" s="2407" t="s">
        <v>575</v>
      </c>
      <c r="CA16" s="2454"/>
      <c r="CB16" s="2407" t="s">
        <v>1310</v>
      </c>
      <c r="CC16" s="2454"/>
      <c r="CD16" s="2407" t="s">
        <v>575</v>
      </c>
      <c r="CE16" s="2454"/>
      <c r="CF16" s="2407" t="s">
        <v>1311</v>
      </c>
      <c r="CG16" s="2454"/>
      <c r="CH16" s="2407" t="s">
        <v>1312</v>
      </c>
      <c r="CI16" s="2454"/>
      <c r="CJ16" s="2407" t="s">
        <v>1312</v>
      </c>
      <c r="CK16" s="2454"/>
      <c r="CL16" s="2457"/>
      <c r="CM16" s="2455"/>
      <c r="CN16" s="2455"/>
      <c r="CO16" s="2455"/>
      <c r="CP16" s="2455"/>
      <c r="CQ16" s="2455"/>
      <c r="CR16" s="2455"/>
      <c r="CS16" s="2455"/>
      <c r="CT16" s="2455"/>
      <c r="CU16" s="2455"/>
      <c r="CV16" s="2455"/>
      <c r="CW16" s="2455"/>
      <c r="CX16" s="2474"/>
      <c r="CY16" s="2357" t="s">
        <v>575</v>
      </c>
      <c r="CZ16" s="2409"/>
      <c r="DA16" s="2357" t="s">
        <v>575</v>
      </c>
      <c r="DB16" s="2409"/>
      <c r="DC16" s="2357" t="s">
        <v>575</v>
      </c>
      <c r="DD16" s="2409"/>
      <c r="DE16" s="2407" t="s">
        <v>1310</v>
      </c>
      <c r="DF16" s="2454"/>
      <c r="DG16" s="2407" t="s">
        <v>1313</v>
      </c>
      <c r="DH16" s="2454"/>
      <c r="DI16" s="2407" t="s">
        <v>1313</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70"/>
      <c r="GC16" s="934">
        <v>12</v>
      </c>
    </row>
    <row customHeight="1" ht="15.75">
      <c r="E17" s="945"/>
      <c r="F17" s="2226"/>
      <c r="G17" s="2226"/>
      <c r="H17" s="2458"/>
      <c r="I17" s="2458"/>
      <c r="J17" s="2459"/>
      <c r="K17" s="2459"/>
      <c r="L17" s="2459"/>
      <c r="M17" s="2459"/>
      <c r="N17" s="2459"/>
      <c r="O17" s="1199" t="s">
        <v>1314</v>
      </c>
      <c r="P17" s="1199" t="s">
        <v>1315</v>
      </c>
      <c r="Q17" s="1199" t="s">
        <v>1314</v>
      </c>
      <c r="R17" s="1199" t="s">
        <v>1315</v>
      </c>
      <c r="S17" s="1199" t="s">
        <v>1314</v>
      </c>
      <c r="T17" s="1199" t="s">
        <v>1315</v>
      </c>
      <c r="U17" s="1199" t="s">
        <v>1314</v>
      </c>
      <c r="V17" s="1199" t="s">
        <v>1315</v>
      </c>
      <c r="W17" s="1199" t="s">
        <v>1314</v>
      </c>
      <c r="X17" s="1199" t="s">
        <v>1315</v>
      </c>
      <c r="Y17" s="1199" t="s">
        <v>1314</v>
      </c>
      <c r="Z17" s="1199" t="s">
        <v>1315</v>
      </c>
      <c r="AA17" s="1199" t="s">
        <v>1314</v>
      </c>
      <c r="AB17" s="1199" t="s">
        <v>1315</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9" t="s">
        <v>1314</v>
      </c>
      <c r="BU17" s="1199" t="s">
        <v>1315</v>
      </c>
      <c r="BV17" s="1199" t="s">
        <v>1314</v>
      </c>
      <c r="BW17" s="1199" t="s">
        <v>1315</v>
      </c>
      <c r="BX17" s="1199" t="s">
        <v>1314</v>
      </c>
      <c r="BY17" s="1199" t="s">
        <v>1315</v>
      </c>
      <c r="BZ17" s="1199" t="s">
        <v>1314</v>
      </c>
      <c r="CA17" s="1199" t="s">
        <v>1315</v>
      </c>
      <c r="CB17" s="1199" t="s">
        <v>1314</v>
      </c>
      <c r="CC17" s="1199" t="s">
        <v>1315</v>
      </c>
      <c r="CD17" s="1199" t="s">
        <v>1314</v>
      </c>
      <c r="CE17" s="1199" t="s">
        <v>1315</v>
      </c>
      <c r="CF17" s="1199" t="s">
        <v>1314</v>
      </c>
      <c r="CG17" s="1199" t="s">
        <v>1315</v>
      </c>
      <c r="CH17" s="1199" t="s">
        <v>1314</v>
      </c>
      <c r="CI17" s="1199" t="s">
        <v>1315</v>
      </c>
      <c r="CJ17" s="1199" t="s">
        <v>1314</v>
      </c>
      <c r="CK17" s="1199" t="s">
        <v>1315</v>
      </c>
      <c r="CL17" s="2457"/>
      <c r="CM17" s="2455"/>
      <c r="CN17" s="2455"/>
      <c r="CO17" s="2455"/>
      <c r="CP17" s="2455"/>
      <c r="CQ17" s="2455"/>
      <c r="CR17" s="2455"/>
      <c r="CS17" s="2455"/>
      <c r="CT17" s="2455"/>
      <c r="CU17" s="2455"/>
      <c r="CV17" s="2455"/>
      <c r="CW17" s="2455"/>
      <c r="CX17" s="2474"/>
      <c r="CY17" s="1199" t="s">
        <v>1314</v>
      </c>
      <c r="CZ17" s="1199" t="s">
        <v>1315</v>
      </c>
      <c r="DA17" s="1199" t="s">
        <v>1314</v>
      </c>
      <c r="DB17" s="1199" t="s">
        <v>1315</v>
      </c>
      <c r="DC17" s="1199" t="s">
        <v>1314</v>
      </c>
      <c r="DD17" s="1199" t="s">
        <v>1315</v>
      </c>
      <c r="DE17" s="1199" t="s">
        <v>1314</v>
      </c>
      <c r="DF17" s="1199" t="s">
        <v>1315</v>
      </c>
      <c r="DG17" s="1199" t="s">
        <v>1314</v>
      </c>
      <c r="DH17" s="1199" t="s">
        <v>1315</v>
      </c>
      <c r="DI17" s="1199" t="s">
        <v>1314</v>
      </c>
      <c r="DJ17" s="1199" t="s">
        <v>1315</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393</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21">
      <c r="A21" s="1332" t="s">
        <v>1040</v>
      </c>
      <c r="B21" s="948"/>
      <c r="C21" s="933"/>
      <c r="D21" s="933"/>
      <c r="E21" s="947" t="s">
        <v>22</v>
      </c>
      <c r="F21" s="1129" t="str">
        <f>INDEX(IP_MAIN_LIST_NAME_IP,MATCH(A21,IP_MAIN_LIST_IP_ID,0))&amp;" ("&amp;INDEX(IP_MAIN_START_DATE,MATCH(A21,IP_MAIN_LIST_IP_ID,0))&amp;"-"&amp;INDEX(IP_MAIN_END_DATE,MATCH(A21,IP_MAIN_LIST_IP_ID,0))&amp;")"</f>
        <v>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 (23.12.2024-31.01.2029)</v>
      </c>
      <c r="G21" s="1211"/>
      <c r="H21" s="1212"/>
      <c r="I21" s="1212"/>
      <c r="J21" s="1212"/>
      <c r="K21" s="1212"/>
      <c r="L21" s="1212"/>
      <c r="M21" s="1212"/>
      <c r="N21" s="1212"/>
      <c r="O21" s="1211"/>
      <c r="P21" s="1211"/>
      <c r="Q21" s="1211"/>
      <c r="R21" s="1211"/>
      <c r="S21" s="1211"/>
      <c r="T21" s="1211"/>
      <c r="U21" s="1213"/>
      <c r="V21" s="1213"/>
      <c r="W21" s="1213"/>
      <c r="X21" s="1213"/>
      <c r="Y21" s="1213"/>
      <c r="Z21" s="1213"/>
      <c r="AA21" s="1213"/>
      <c r="AB21" s="1211"/>
      <c r="AC21" s="1212"/>
      <c r="AD21" s="1212"/>
      <c r="AE21" s="1212"/>
      <c r="AF21" s="1212"/>
      <c r="AG21" s="1212"/>
      <c r="AH21" s="1212"/>
      <c r="AI21" s="1212"/>
      <c r="AJ21" s="1212"/>
      <c r="AK21" s="1212"/>
      <c r="AL21" s="1212"/>
      <c r="AM21" s="1212"/>
      <c r="AN21" s="1212"/>
      <c r="AO21" s="1212"/>
      <c r="AP21" s="1212"/>
      <c r="AQ21" s="1212"/>
      <c r="AR21" s="1212"/>
      <c r="AS21" s="1212"/>
      <c r="AT21" s="1212"/>
      <c r="AU21" s="1212"/>
      <c r="AV21" s="1212"/>
      <c r="AW21" s="1212"/>
      <c r="AX21" s="1212"/>
      <c r="AY21" s="1212"/>
      <c r="AZ21" s="1212"/>
      <c r="BA21" s="1212"/>
      <c r="BB21" s="1212"/>
      <c r="BC21" s="1212"/>
      <c r="BD21" s="1212"/>
      <c r="BE21" s="1212"/>
      <c r="BF21" s="1212"/>
      <c r="BG21" s="1212"/>
      <c r="BH21" s="1212"/>
      <c r="BI21" s="1212"/>
      <c r="BJ21" s="1212"/>
      <c r="BK21" s="1212"/>
      <c r="BL21" s="1212"/>
      <c r="BM21" s="1212"/>
      <c r="BN21" s="1212"/>
      <c r="BO21" s="1212"/>
      <c r="BP21" s="1212"/>
      <c r="BQ21" s="1212"/>
      <c r="BR21" s="1212"/>
      <c r="BS21" s="1212"/>
      <c r="BT21" s="1212"/>
      <c r="BU21" s="1212"/>
      <c r="BV21" s="1212"/>
      <c r="BW21" s="1212"/>
      <c r="BX21" s="1212"/>
      <c r="BY21" s="1212"/>
      <c r="BZ21" s="1212"/>
      <c r="CA21" s="1212"/>
      <c r="CB21" s="1212"/>
      <c r="CC21" s="1212"/>
      <c r="CD21" s="1212"/>
      <c r="CE21" s="1212"/>
      <c r="CF21" s="1212"/>
      <c r="CG21" s="1212"/>
      <c r="CH21" s="1212"/>
      <c r="CI21" s="1212"/>
      <c r="CJ21" s="1212"/>
      <c r="CK21" s="1212"/>
      <c r="CL21" s="1214"/>
      <c r="CM21" s="1214"/>
      <c r="CN21" s="1214"/>
      <c r="CO21" s="1214"/>
      <c r="CP21" s="1214"/>
      <c r="CQ21" s="1214"/>
      <c r="CR21" s="1214"/>
      <c r="CS21" s="1214"/>
      <c r="CT21" s="1214"/>
      <c r="CU21" s="1214"/>
      <c r="CV21" s="1214"/>
      <c r="CW21" s="1214"/>
      <c r="CX21" s="1214"/>
      <c r="CY21" s="1214"/>
      <c r="CZ21" s="1214"/>
      <c r="DA21" s="1214"/>
      <c r="DB21" s="1214"/>
      <c r="DC21" s="1214"/>
      <c r="DD21" s="1214"/>
      <c r="DE21" s="1214"/>
      <c r="DF21" s="1214"/>
      <c r="DG21" s="1214"/>
      <c r="DH21" s="1214"/>
      <c r="DI21" s="1214"/>
      <c r="DJ21" s="1214"/>
      <c r="DK21" s="1214"/>
      <c r="DL21" s="1214"/>
      <c r="DM21" s="1214"/>
      <c r="DN21" s="1214"/>
      <c r="DO21" s="1214"/>
      <c r="DP21" s="1214"/>
      <c r="DQ21" s="1214"/>
      <c r="DR21" s="1214"/>
      <c r="DS21" s="1214"/>
      <c r="DT21" s="1214"/>
      <c r="DU21" s="1214"/>
      <c r="DV21" s="1214"/>
      <c r="DW21" s="1214"/>
      <c r="DX21" s="1214"/>
      <c r="DY21" s="1214"/>
      <c r="DZ21" s="1214"/>
      <c r="EA21" s="1214"/>
      <c r="EB21" s="1214"/>
      <c r="EC21" s="1214"/>
      <c r="ED21" s="1214"/>
      <c r="EE21" s="1214"/>
      <c r="EF21" s="1214"/>
      <c r="EG21" s="1214"/>
      <c r="EH21" s="1214"/>
      <c r="EI21" s="1214"/>
      <c r="EJ21" s="1214"/>
      <c r="EK21" s="1214"/>
      <c r="EL21" s="1214"/>
      <c r="EM21" s="1214"/>
      <c r="EN21" s="1214"/>
      <c r="EO21" s="1214"/>
      <c r="EP21" s="1214"/>
      <c r="EQ21" s="1214"/>
      <c r="ER21" s="1214"/>
      <c r="ES21" s="1214"/>
      <c r="ET21" s="1214"/>
      <c r="EU21" s="1214"/>
      <c r="EV21" s="1214"/>
      <c r="EW21" s="1214"/>
      <c r="EX21" s="1214"/>
      <c r="EY21" s="1214"/>
      <c r="EZ21" s="1214"/>
      <c r="FA21" s="1214"/>
      <c r="FB21" s="1214"/>
      <c r="FC21" s="1214"/>
      <c r="FD21" s="1214"/>
      <c r="FE21" s="1214"/>
      <c r="FF21" s="1214"/>
      <c r="FG21" s="1214"/>
      <c r="FH21" s="1214"/>
      <c r="FI21" s="1214"/>
      <c r="FJ21" s="1214"/>
      <c r="FK21" s="1214"/>
      <c r="FL21" s="1214"/>
      <c r="FM21" s="1214"/>
      <c r="FN21" s="1214"/>
      <c r="FO21" s="1214"/>
      <c r="FP21" s="1214"/>
      <c r="FQ21" s="1214"/>
      <c r="FR21" s="1214"/>
      <c r="FS21" s="1214"/>
      <c r="FT21" s="1214"/>
      <c r="FU21" s="1214"/>
      <c r="FV21" s="1215"/>
      <c r="FW21" s="1209"/>
      <c r="FX21" s="1210"/>
      <c r="FY21" s="933"/>
      <c r="FZ21" s="933"/>
      <c r="GA21" s="933"/>
      <c r="GB21" s="933"/>
    </row>
    <row s="933" customFormat="1" customHeight="1" ht="75">
      <c r="A22" s="933" t="s">
        <v>1040</v>
      </c>
      <c r="B22" s="948"/>
      <c r="C22" s="933"/>
      <c r="D22" s="933"/>
      <c r="E22" s="1855"/>
      <c r="F22" s="2410">
        <v>1</v>
      </c>
      <c r="G22" s="2583" t="s">
        <v>1030</v>
      </c>
      <c r="H22" s="1218" t="s">
        <v>1316</v>
      </c>
      <c r="I22" s="1987" t="s">
        <v>1317</v>
      </c>
      <c r="J22" s="1219"/>
      <c r="K22" s="1219"/>
      <c r="L22" s="1219"/>
      <c r="M22" s="1219"/>
      <c r="N22" s="1219"/>
      <c r="O22" s="1220"/>
      <c r="P22" s="1220"/>
      <c r="Q22" s="1220"/>
      <c r="R22" s="1220"/>
      <c r="S22" s="1220">
        <v>150.4</v>
      </c>
      <c r="T22" s="1220">
        <v>150.12</v>
      </c>
      <c r="U22" s="1220">
        <v>4.53</v>
      </c>
      <c r="V22" s="1220">
        <v>3.42</v>
      </c>
      <c r="W22" s="1220">
        <v>20.15</v>
      </c>
      <c r="X22" s="1220">
        <v>20.58</v>
      </c>
      <c r="Y22" s="1220">
        <v>318283.99</v>
      </c>
      <c r="Z22" s="1220">
        <v>240450.43</v>
      </c>
      <c r="AA22" s="1220">
        <v>1414850</v>
      </c>
      <c r="AB22" s="1220">
        <v>1445020</v>
      </c>
      <c r="AC22" s="1219"/>
      <c r="AD22" s="1219"/>
      <c r="AE22" s="1219"/>
      <c r="AF22" s="1219"/>
      <c r="AG22" s="1219"/>
      <c r="AH22" s="1219"/>
      <c r="AI22" s="1219"/>
      <c r="AJ22" s="1219"/>
      <c r="AK22" s="1219"/>
      <c r="AL22" s="1219"/>
      <c r="AM22" s="1219"/>
      <c r="AN22" s="1219"/>
      <c r="AO22" s="1219"/>
      <c r="AP22" s="1219"/>
      <c r="AQ22" s="1219"/>
      <c r="AR22" s="1219"/>
      <c r="AS22" s="1219"/>
      <c r="AT22" s="1219"/>
      <c r="AU22" s="1219"/>
      <c r="AV22" s="1219"/>
      <c r="AW22" s="1219"/>
      <c r="AX22" s="1219"/>
      <c r="AY22" s="1219"/>
      <c r="AZ22" s="1219"/>
      <c r="BA22" s="1219"/>
      <c r="BB22" s="1219"/>
      <c r="BC22" s="1219"/>
      <c r="BD22" s="1219"/>
      <c r="BE22" s="1219"/>
      <c r="BF22" s="1219"/>
      <c r="BG22" s="1219"/>
      <c r="BH22" s="1219"/>
      <c r="BI22" s="1219"/>
      <c r="BJ22" s="1219"/>
      <c r="BK22" s="1219"/>
      <c r="BL22" s="1219"/>
      <c r="BM22" s="1219"/>
      <c r="BN22" s="1219"/>
      <c r="BO22" s="1219"/>
      <c r="BP22" s="1219"/>
      <c r="BQ22" s="1219"/>
      <c r="BR22" s="1219"/>
      <c r="BS22" s="1219"/>
      <c r="BT22" s="1220"/>
      <c r="BU22" s="1220"/>
      <c r="BV22" s="1220"/>
      <c r="BW22" s="1220"/>
      <c r="BX22" s="1220"/>
      <c r="BY22" s="1220"/>
      <c r="BZ22" s="1220"/>
      <c r="CA22" s="1220"/>
      <c r="CB22" s="1220"/>
      <c r="CC22" s="1220"/>
      <c r="CD22" s="1220"/>
      <c r="CE22" s="1220"/>
      <c r="CF22" s="1220"/>
      <c r="CG22" s="1220"/>
      <c r="CH22" s="1220"/>
      <c r="CI22" s="1220"/>
      <c r="CJ22" s="1220"/>
      <c r="CK22" s="1220"/>
      <c r="CL22" s="1219"/>
      <c r="CM22" s="1219"/>
      <c r="CN22" s="1219"/>
      <c r="CO22" s="1219"/>
      <c r="CP22" s="1219"/>
      <c r="CQ22" s="1219"/>
      <c r="CR22" s="1219"/>
      <c r="CS22" s="1219"/>
      <c r="CT22" s="1219"/>
      <c r="CU22" s="1219"/>
      <c r="CV22" s="1219"/>
      <c r="CW22" s="1219"/>
      <c r="CX22" s="1219"/>
      <c r="CY22" s="1220"/>
      <c r="CZ22" s="1220"/>
      <c r="DA22" s="1220"/>
      <c r="DB22" s="1220"/>
      <c r="DC22" s="1220"/>
      <c r="DD22" s="1220"/>
      <c r="DE22" s="1220"/>
      <c r="DF22" s="1220"/>
      <c r="DG22" s="1220"/>
      <c r="DH22" s="1220"/>
      <c r="DI22" s="1220"/>
      <c r="DJ22" s="1220"/>
      <c r="DK22" s="1219"/>
      <c r="DL22" s="1219"/>
      <c r="DM22" s="1219"/>
      <c r="DN22" s="1219"/>
      <c r="DO22" s="1219"/>
      <c r="DP22" s="1219"/>
      <c r="DQ22" s="1219"/>
      <c r="DR22" s="1219"/>
      <c r="DS22" s="1219"/>
      <c r="DT22" s="1219"/>
      <c r="DU22" s="1219"/>
      <c r="DV22" s="1219"/>
      <c r="DW22" s="1219"/>
      <c r="DX22" s="1219"/>
      <c r="DY22" s="1219"/>
      <c r="DZ22" s="1219"/>
      <c r="EA22" s="1219"/>
      <c r="EB22" s="1219"/>
      <c r="EC22" s="1219"/>
      <c r="ED22" s="1219"/>
      <c r="EE22" s="1219"/>
      <c r="EF22" s="1219"/>
      <c r="EG22" s="1219"/>
      <c r="EH22" s="1219"/>
      <c r="EI22" s="1219"/>
      <c r="EJ22" s="1219"/>
      <c r="EK22" s="1219"/>
      <c r="EL22" s="1219"/>
      <c r="EM22" s="1219"/>
      <c r="EN22" s="1219"/>
      <c r="EO22" s="1219"/>
      <c r="EP22" s="1219"/>
      <c r="EQ22" s="1219"/>
      <c r="ER22" s="1219"/>
      <c r="ES22" s="1219"/>
      <c r="ET22" s="1219"/>
      <c r="EU22" s="1219"/>
      <c r="EV22" s="1219"/>
      <c r="EW22" s="1219"/>
      <c r="EX22" s="1219"/>
      <c r="EY22" s="1219"/>
      <c r="EZ22" s="1219"/>
      <c r="FA22" s="1219"/>
      <c r="FB22" s="1219"/>
      <c r="FC22" s="1219"/>
      <c r="FD22" s="1219"/>
      <c r="FE22" s="1219"/>
      <c r="FF22" s="1219"/>
      <c r="FG22" s="1219"/>
      <c r="FH22" s="1219"/>
      <c r="FI22" s="1219"/>
      <c r="FJ22" s="1219"/>
      <c r="FK22" s="1219"/>
      <c r="FL22" s="1219"/>
      <c r="FM22" s="1219"/>
      <c r="FN22" s="1219"/>
      <c r="FO22" s="1219"/>
      <c r="FP22" s="1219"/>
      <c r="FQ22" s="1219"/>
      <c r="FR22" s="1219"/>
      <c r="FS22" s="1219"/>
      <c r="FT22" s="1219"/>
      <c r="FU22" s="1219"/>
      <c r="FV22" s="1219"/>
      <c r="FW22" s="1219"/>
      <c r="FX22" s="1210"/>
      <c r="FY22" s="933"/>
      <c r="FZ22" s="933"/>
      <c r="GA22" s="933"/>
      <c r="GB22" s="933"/>
    </row>
    <row s="933" customFormat="1" customHeight="1" ht="12">
      <c r="A23" s="933" t="s">
        <v>1040</v>
      </c>
      <c r="B23" s="948"/>
      <c r="C23" s="933"/>
      <c r="D23" s="933"/>
      <c r="E23" s="933"/>
      <c r="F23" s="2742"/>
      <c r="G23" s="2743" t="s">
        <v>1318</v>
      </c>
      <c r="H23" s="2744"/>
      <c r="I23" s="2745"/>
      <c r="J23" s="2746"/>
      <c r="K23" s="2747"/>
      <c r="L23" s="2748"/>
      <c r="M23" s="2749"/>
      <c r="N23" s="2750"/>
      <c r="O23" s="2751"/>
      <c r="P23" s="2752"/>
      <c r="Q23" s="2753"/>
      <c r="R23" s="2754"/>
      <c r="S23" s="2755"/>
      <c r="T23" s="2756"/>
      <c r="U23" s="2757"/>
      <c r="V23" s="2758"/>
      <c r="W23" s="2759"/>
      <c r="X23" s="2760"/>
      <c r="Y23" s="2761"/>
      <c r="Z23" s="2762"/>
      <c r="AA23" s="2763"/>
      <c r="AB23" s="2764"/>
      <c r="AC23" s="2765"/>
      <c r="AD23" s="2766"/>
      <c r="AE23" s="2767"/>
      <c r="AF23" s="2768"/>
      <c r="AG23" s="2769"/>
      <c r="AH23" s="2770"/>
      <c r="AI23" s="2771"/>
      <c r="AJ23" s="2772"/>
      <c r="AK23" s="2773"/>
      <c r="AL23" s="2774"/>
      <c r="AM23" s="2775"/>
      <c r="AN23" s="2776"/>
      <c r="AO23" s="2777"/>
      <c r="AP23" s="2778"/>
      <c r="AQ23" s="2779"/>
      <c r="AR23" s="2780"/>
      <c r="AS23" s="2781"/>
      <c r="AT23" s="2782"/>
      <c r="AU23" s="2783"/>
      <c r="AV23" s="2784"/>
      <c r="AW23" s="2785"/>
      <c r="AX23" s="2786"/>
      <c r="AY23" s="2787"/>
      <c r="AZ23" s="2788"/>
      <c r="BA23" s="2789"/>
      <c r="BB23" s="2790"/>
      <c r="BC23" s="2791"/>
      <c r="BD23" s="2792"/>
      <c r="BE23" s="2793"/>
      <c r="BF23" s="2794"/>
      <c r="BG23" s="2795"/>
      <c r="BH23" s="2796"/>
      <c r="BI23" s="2797"/>
      <c r="BJ23" s="2798"/>
      <c r="BK23" s="2799"/>
      <c r="BL23" s="2800"/>
      <c r="BM23" s="2801"/>
      <c r="BN23" s="2802"/>
      <c r="BO23" s="2803"/>
      <c r="BP23" s="2804"/>
      <c r="BQ23" s="2805"/>
      <c r="BR23" s="2806"/>
      <c r="BS23" s="2807"/>
      <c r="BT23" s="2808"/>
      <c r="BU23" s="2809"/>
      <c r="BV23" s="2810"/>
      <c r="BW23" s="2811"/>
      <c r="BX23" s="2812"/>
      <c r="BY23" s="2813"/>
      <c r="BZ23" s="2814"/>
      <c r="CA23" s="2815"/>
      <c r="CB23" s="2816"/>
      <c r="CC23" s="2817"/>
      <c r="CD23" s="2818"/>
      <c r="CE23" s="2819"/>
      <c r="CF23" s="2820"/>
      <c r="CG23" s="2821"/>
      <c r="CH23" s="2822"/>
      <c r="CI23" s="2823"/>
      <c r="CJ23" s="2824"/>
      <c r="CK23" s="2825"/>
      <c r="CL23" s="2826"/>
      <c r="CM23" s="2827"/>
      <c r="CN23" s="2828"/>
      <c r="CO23" s="2829"/>
      <c r="CP23" s="2830"/>
      <c r="CQ23" s="2831"/>
      <c r="CR23" s="2832"/>
      <c r="CS23" s="2833"/>
      <c r="CT23" s="2834"/>
      <c r="CU23" s="2835"/>
      <c r="CV23" s="2836"/>
      <c r="CW23" s="2837"/>
      <c r="CX23" s="2838"/>
      <c r="CY23" s="2839"/>
      <c r="CZ23" s="2840"/>
      <c r="DA23" s="2841"/>
      <c r="DB23" s="2842"/>
      <c r="DC23" s="2843"/>
      <c r="DD23" s="2844"/>
      <c r="DE23" s="2845"/>
      <c r="DF23" s="2846"/>
      <c r="DG23" s="2847"/>
      <c r="DH23" s="2848"/>
      <c r="DI23" s="2849"/>
      <c r="DJ23" s="2850"/>
      <c r="DK23" s="2851"/>
      <c r="DL23" s="2852"/>
      <c r="DM23" s="2853"/>
      <c r="DN23" s="2854"/>
      <c r="DO23" s="2855"/>
      <c r="DP23" s="2856"/>
      <c r="DQ23" s="2857"/>
      <c r="DR23" s="2858"/>
      <c r="DS23" s="2859"/>
      <c r="DT23" s="2860"/>
      <c r="DU23" s="2861"/>
      <c r="DV23" s="2862"/>
      <c r="DW23" s="2863"/>
      <c r="DX23" s="2864"/>
      <c r="DY23" s="2865"/>
      <c r="DZ23" s="2866"/>
      <c r="EA23" s="2867"/>
      <c r="EB23" s="2868"/>
      <c r="EC23" s="2869"/>
      <c r="ED23" s="2870"/>
      <c r="EE23" s="2871"/>
      <c r="EF23" s="2872"/>
      <c r="EG23" s="2873"/>
      <c r="EH23" s="2874"/>
      <c r="EI23" s="2875"/>
      <c r="EJ23" s="2876"/>
      <c r="EK23" s="2877"/>
      <c r="EL23" s="2878"/>
      <c r="EM23" s="2879"/>
      <c r="EN23" s="2880"/>
      <c r="EO23" s="2881"/>
      <c r="EP23" s="2882"/>
      <c r="EQ23" s="2883"/>
      <c r="ER23" s="2884"/>
      <c r="ES23" s="2885"/>
      <c r="ET23" s="2886"/>
      <c r="EU23" s="2887"/>
      <c r="EV23" s="2888"/>
      <c r="EW23" s="2889"/>
      <c r="EX23" s="2890"/>
      <c r="EY23" s="2891"/>
      <c r="EZ23" s="2892"/>
      <c r="FA23" s="2893"/>
      <c r="FB23" s="2894"/>
      <c r="FC23" s="2895"/>
      <c r="FD23" s="2896"/>
      <c r="FE23" s="2897"/>
      <c r="FF23" s="2898"/>
      <c r="FG23" s="2899"/>
      <c r="FH23" s="2900"/>
      <c r="FI23" s="2901"/>
      <c r="FJ23" s="2902"/>
      <c r="FK23" s="2903"/>
      <c r="FL23" s="2904"/>
      <c r="FM23" s="2905"/>
      <c r="FN23" s="2906"/>
      <c r="FO23" s="2907"/>
      <c r="FP23" s="2908"/>
      <c r="FQ23" s="2909"/>
      <c r="FR23" s="2910"/>
      <c r="FS23" s="2911"/>
      <c r="FT23" s="2912"/>
      <c r="FU23" s="2913"/>
      <c r="FV23" s="2914"/>
      <c r="FW23" s="2915"/>
      <c r="FX23" s="1830"/>
      <c r="FY23" s="1070"/>
      <c r="FZ23" s="1070"/>
      <c r="GA23" s="1070"/>
      <c r="GB23" s="1070"/>
    </row>
    <row s="933" customFormat="1" customHeight="1" ht="12.75">
      <c r="A24" s="949"/>
      <c r="B24" s="949"/>
      <c r="C24" s="949"/>
      <c r="D24" s="949"/>
      <c r="E24" s="949"/>
      <c r="F24" s="947"/>
      <c r="G24" s="947"/>
      <c r="H24" s="947"/>
      <c r="I24" s="947"/>
      <c r="J24" s="947"/>
      <c r="K24" s="947"/>
      <c r="L24" s="947"/>
      <c r="M24" s="947"/>
      <c r="N24" s="947"/>
      <c r="O24" s="947"/>
      <c r="P24" s="947"/>
      <c r="Q24" s="947"/>
      <c r="R24" s="947"/>
      <c r="S24" s="950"/>
      <c r="T24" s="950"/>
      <c r="U24" s="947"/>
      <c r="V24" s="947"/>
      <c r="W24" s="947"/>
      <c r="X24" s="947"/>
      <c r="Y24" s="947"/>
      <c r="Z24" s="947"/>
      <c r="AA24" s="947"/>
      <c r="AB24" s="947"/>
      <c r="AC24" s="947"/>
      <c r="AD24" s="947"/>
      <c r="AE24" s="947"/>
      <c r="AF24" s="947"/>
      <c r="AG24" s="947"/>
      <c r="AH24" s="947"/>
      <c r="AI24" s="947"/>
      <c r="AJ24" s="947"/>
      <c r="AK24" s="947"/>
      <c r="AL24" s="947"/>
      <c r="AM24" s="947"/>
      <c r="AN24" s="947"/>
      <c r="AO24" s="947"/>
      <c r="AP24" s="947"/>
      <c r="AQ24" s="947"/>
      <c r="AR24" s="947"/>
      <c r="AS24" s="947"/>
      <c r="AT24" s="947"/>
      <c r="AU24" s="947"/>
      <c r="AV24" s="947"/>
      <c r="AW24" s="947"/>
      <c r="AX24" s="947"/>
      <c r="AY24" s="947"/>
      <c r="AZ24" s="947"/>
      <c r="BA24" s="947"/>
      <c r="BB24" s="947"/>
      <c r="BC24" s="947"/>
      <c r="BD24" s="947"/>
      <c r="BE24" s="947"/>
      <c r="BF24" s="947"/>
      <c r="BG24" s="947"/>
      <c r="BH24" s="947"/>
      <c r="BI24" s="947"/>
      <c r="BJ24" s="947"/>
      <c r="BK24" s="947"/>
      <c r="BL24" s="947"/>
      <c r="BM24" s="947"/>
      <c r="BN24" s="947"/>
      <c r="BO24" s="947"/>
      <c r="BP24" s="947"/>
      <c r="BQ24" s="947"/>
      <c r="BR24" s="947"/>
      <c r="BS24" s="947"/>
      <c r="BT24" s="947"/>
      <c r="BU24" s="947"/>
      <c r="BV24" s="947"/>
      <c r="BW24" s="947"/>
      <c r="BX24" s="947"/>
      <c r="BY24" s="947"/>
      <c r="BZ24" s="947"/>
      <c r="CA24" s="947"/>
      <c r="CB24" s="947"/>
      <c r="CC24" s="947"/>
      <c r="CD24" s="947"/>
      <c r="CE24" s="947"/>
      <c r="CF24" s="947"/>
      <c r="CG24" s="947"/>
      <c r="CH24" s="947"/>
      <c r="CI24" s="947"/>
      <c r="CJ24" s="947"/>
      <c r="CK24" s="947"/>
      <c r="CL24" s="947"/>
      <c r="CM24" s="947"/>
      <c r="CN24" s="947"/>
      <c r="CO24" s="947"/>
      <c r="CP24" s="947"/>
      <c r="CQ24" s="947"/>
      <c r="CR24" s="947"/>
      <c r="CS24" s="947"/>
      <c r="CT24" s="947"/>
      <c r="CU24" s="947"/>
      <c r="CV24" s="947"/>
      <c r="CW24" s="947"/>
      <c r="CX24" s="947"/>
      <c r="CY24" s="947"/>
      <c r="CZ24" s="947"/>
      <c r="DA24" s="947"/>
      <c r="DB24" s="947"/>
      <c r="DC24" s="947"/>
      <c r="DD24" s="947"/>
      <c r="DE24" s="947"/>
      <c r="DF24" s="947"/>
      <c r="DG24" s="947"/>
      <c r="DH24" s="947"/>
      <c r="DI24" s="947"/>
      <c r="DJ24" s="947"/>
      <c r="DK24" s="947"/>
      <c r="DL24" s="947"/>
      <c r="DM24" s="947"/>
      <c r="DN24" s="947"/>
      <c r="DO24" s="947"/>
      <c r="DP24" s="947"/>
      <c r="DQ24" s="947"/>
      <c r="DR24" s="947"/>
      <c r="DS24" s="947"/>
      <c r="DT24" s="947"/>
      <c r="DU24" s="947"/>
      <c r="DV24" s="947"/>
      <c r="DW24" s="947"/>
      <c r="DX24" s="947"/>
      <c r="DY24" s="947"/>
      <c r="DZ24" s="947"/>
      <c r="EA24" s="947"/>
      <c r="EB24" s="947"/>
      <c r="EC24" s="947"/>
      <c r="ED24" s="947"/>
      <c r="EE24" s="947"/>
      <c r="EF24" s="947"/>
      <c r="EG24" s="947"/>
      <c r="EH24" s="947"/>
      <c r="EI24" s="947"/>
      <c r="EJ24" s="947"/>
      <c r="EK24" s="947"/>
      <c r="EL24" s="947"/>
      <c r="EM24" s="947"/>
      <c r="EN24" s="947"/>
      <c r="EO24" s="947"/>
      <c r="EP24" s="947"/>
      <c r="EQ24" s="947"/>
      <c r="ER24" s="947"/>
      <c r="ES24" s="947"/>
      <c r="ET24" s="947"/>
      <c r="EU24" s="947"/>
      <c r="EV24" s="947"/>
      <c r="EW24" s="947"/>
      <c r="EX24" s="947"/>
      <c r="EY24" s="947"/>
      <c r="EZ24" s="947"/>
      <c r="FA24" s="947"/>
      <c r="FB24" s="947"/>
      <c r="FC24" s="947"/>
      <c r="FD24" s="947"/>
      <c r="FE24" s="947"/>
      <c r="FF24" s="947"/>
      <c r="FG24" s="947"/>
      <c r="FH24" s="947"/>
      <c r="FI24" s="947"/>
      <c r="FJ24" s="947"/>
      <c r="FK24" s="947"/>
      <c r="FL24" s="947"/>
      <c r="FM24" s="947"/>
      <c r="FN24" s="947"/>
      <c r="FO24" s="947"/>
      <c r="FP24" s="947"/>
      <c r="FQ24" s="947"/>
      <c r="FR24" s="947"/>
      <c r="FS24" s="947"/>
      <c r="FT24" s="947"/>
      <c r="FU24" s="947"/>
      <c r="FV24" s="947"/>
      <c r="FW24" s="947"/>
      <c r="FX24" s="949"/>
      <c r="FY24" s="949"/>
      <c r="FZ24" s="949"/>
      <c r="GA24" s="949"/>
      <c r="GB24" s="949"/>
      <c r="GC24" s="930">
        <v>12</v>
      </c>
    </row>
    <row s="933" customFormat="1" customHeight="1" ht="12.75">
      <c r="A25" s="949"/>
      <c r="B25" s="949"/>
      <c r="C25" s="949"/>
      <c r="D25" s="949"/>
      <c r="E25" s="949"/>
      <c r="FX25" s="949"/>
      <c r="FY25" s="949"/>
      <c r="FZ25" s="949"/>
      <c r="GA25" s="949"/>
      <c r="GB25" s="949"/>
      <c r="GC25" s="930">
        <v>12</v>
      </c>
    </row>
    <row s="1071" customFormat="1" customHeight="1" ht="12.75">
      <c r="A26" s="1070"/>
      <c r="B26" s="1070"/>
      <c r="C26" s="1070"/>
      <c r="D26" s="1070"/>
      <c r="E26" s="1070"/>
      <c r="O26" s="1072"/>
      <c r="P26" s="1072"/>
      <c r="Q26" s="1072"/>
      <c r="R26" s="1072"/>
      <c r="S26" s="1072"/>
      <c r="T26" s="1072"/>
      <c r="U26" s="1072"/>
      <c r="V26" s="1072"/>
      <c r="W26" s="1072"/>
      <c r="X26" s="1072"/>
      <c r="Y26" s="1072"/>
      <c r="Z26" s="1072"/>
      <c r="AA26" s="1072"/>
      <c r="AB26" s="1072"/>
      <c r="AC26" s="1072"/>
      <c r="AD26" s="1072"/>
      <c r="AE26" s="1072"/>
      <c r="AF26" s="1072"/>
      <c r="AG26" s="1072"/>
      <c r="AH26" s="1072"/>
      <c r="AI26" s="1072"/>
      <c r="AJ26" s="1072"/>
      <c r="AK26" s="1072"/>
      <c r="AL26" s="1072"/>
      <c r="AM26" s="1072"/>
      <c r="AN26" s="1072"/>
      <c r="AO26" s="1072"/>
      <c r="AP26" s="1072"/>
      <c r="AQ26" s="1072"/>
      <c r="AR26" s="1072"/>
      <c r="AS26" s="1072"/>
      <c r="AT26" s="1072"/>
      <c r="AU26" s="1072"/>
      <c r="AV26" s="1072"/>
      <c r="AW26" s="1072"/>
      <c r="AX26" s="1072"/>
      <c r="AY26" s="1072"/>
      <c r="AZ26" s="1072"/>
      <c r="BA26" s="1072"/>
      <c r="BB26" s="1072"/>
      <c r="BC26" s="1072"/>
      <c r="BD26" s="1072"/>
      <c r="BE26" s="1072"/>
      <c r="BF26" s="1072"/>
      <c r="BG26" s="1072"/>
      <c r="BH26" s="1072"/>
      <c r="BI26" s="1072"/>
      <c r="BJ26" s="1072"/>
      <c r="BK26" s="1072"/>
      <c r="BL26" s="1072"/>
      <c r="BM26" s="1072"/>
      <c r="BN26" s="1072"/>
      <c r="BO26" s="1072"/>
      <c r="BP26" s="1072"/>
      <c r="BQ26" s="1072"/>
      <c r="BR26" s="1072"/>
      <c r="BS26" s="1072"/>
      <c r="BT26" s="1073"/>
      <c r="BU26" s="1073"/>
      <c r="BV26" s="1073"/>
      <c r="BW26" s="1073"/>
      <c r="BX26" s="1073"/>
      <c r="BY26" s="1073"/>
      <c r="BZ26" s="1073"/>
      <c r="CA26" s="1073"/>
      <c r="CB26" s="1073"/>
      <c r="CC26" s="1073"/>
      <c r="CD26" s="1073"/>
      <c r="CE26" s="1073"/>
      <c r="CF26" s="1073"/>
      <c r="CG26" s="1073"/>
      <c r="CH26" s="1073"/>
      <c r="CI26" s="1073"/>
      <c r="CJ26" s="1073"/>
      <c r="CK26" s="1073"/>
      <c r="CL26" s="1073"/>
      <c r="CM26" s="1073"/>
      <c r="CN26" s="1073"/>
      <c r="CO26" s="1073"/>
      <c r="CP26" s="1073"/>
      <c r="CQ26" s="1073"/>
      <c r="CR26" s="1073"/>
      <c r="CS26" s="1073"/>
      <c r="CT26" s="1073"/>
      <c r="CU26" s="1073"/>
      <c r="CV26" s="1073"/>
      <c r="CW26" s="1073"/>
      <c r="CX26" s="1073"/>
      <c r="CY26" s="1073"/>
      <c r="CZ26" s="1073"/>
      <c r="DA26" s="1073"/>
      <c r="DB26" s="1073"/>
      <c r="DC26" s="1073"/>
      <c r="DD26" s="1073"/>
      <c r="DE26" s="1073"/>
      <c r="DF26" s="1073"/>
      <c r="DG26" s="1073"/>
      <c r="DH26" s="1073"/>
      <c r="DI26" s="1073"/>
      <c r="DJ26" s="1073"/>
      <c r="DK26" s="1073"/>
      <c r="DL26" s="1073"/>
      <c r="DM26" s="1073"/>
      <c r="DN26" s="1073"/>
      <c r="DO26" s="1073"/>
      <c r="DP26" s="1073"/>
      <c r="DQ26" s="1073"/>
      <c r="DR26" s="1073"/>
      <c r="DS26" s="1073"/>
      <c r="DT26" s="1073"/>
      <c r="DU26" s="1073"/>
      <c r="DV26" s="1073"/>
      <c r="DW26" s="1073"/>
      <c r="DX26" s="1073"/>
      <c r="FX26" s="1070"/>
      <c r="FY26" s="1070"/>
      <c r="FZ26" s="1070"/>
      <c r="GA26" s="1070"/>
      <c r="GB26" s="1070"/>
      <c r="GC26" s="1071">
        <v>12</v>
      </c>
    </row>
    <row customHeight="1" ht="12.75">
      <c r="S27" s="946"/>
      <c r="T27" s="946"/>
      <c r="U27" s="946"/>
      <c r="V27" s="946"/>
      <c r="W27" s="946"/>
      <c r="X27" s="946"/>
      <c r="Y27" s="946"/>
      <c r="Z27" s="946"/>
      <c r="AA27" s="946"/>
      <c r="AB27" s="946"/>
      <c r="FX27" s="946"/>
      <c r="FY27" s="946"/>
      <c r="FZ27" s="946"/>
      <c r="GA27" s="946"/>
      <c r="GB27" s="946"/>
      <c r="GC27" s="934">
        <v>12</v>
      </c>
    </row>
    <row customHeight="1" ht="12" hidden="1">
      <c r="A28" s="934" t="s">
        <v>82</v>
      </c>
      <c r="B28" s="944">
        <v>0</v>
      </c>
      <c r="C28" s="934">
        <v>0</v>
      </c>
      <c r="D28" s="934">
        <v>0</v>
      </c>
      <c r="E28" s="934">
        <v>3</v>
      </c>
      <c r="F28" s="934">
        <v>6</v>
      </c>
      <c r="G28" s="934">
        <v>18</v>
      </c>
      <c r="H28" s="934">
        <v>27</v>
      </c>
      <c r="I28" s="934">
        <v>18</v>
      </c>
      <c r="J28" s="934">
        <v>0</v>
      </c>
      <c r="K28" s="934">
        <v>0</v>
      </c>
      <c r="L28" s="934">
        <v>0</v>
      </c>
      <c r="M28" s="934">
        <v>0</v>
      </c>
      <c r="N28" s="934">
        <v>0</v>
      </c>
      <c r="O28" s="934">
        <v>0</v>
      </c>
      <c r="P28" s="934">
        <v>0</v>
      </c>
      <c r="Q28" s="934">
        <v>0</v>
      </c>
      <c r="R28" s="934">
        <v>0</v>
      </c>
      <c r="S28" s="934">
        <v>0</v>
      </c>
      <c r="T28" s="934">
        <v>0</v>
      </c>
      <c r="U28" s="934">
        <v>0</v>
      </c>
      <c r="V28" s="934">
        <v>0</v>
      </c>
      <c r="W28" s="934">
        <v>0</v>
      </c>
      <c r="X28" s="934">
        <v>0</v>
      </c>
      <c r="Y28" s="934">
        <v>0</v>
      </c>
      <c r="Z28" s="934">
        <v>0</v>
      </c>
      <c r="AA28" s="934">
        <v>0</v>
      </c>
      <c r="AB28" s="934">
        <v>0</v>
      </c>
      <c r="AC28" s="934">
        <v>0</v>
      </c>
      <c r="AD28" s="934">
        <v>0</v>
      </c>
      <c r="AE28" s="934">
        <v>0</v>
      </c>
      <c r="AF28" s="934">
        <v>0</v>
      </c>
      <c r="AG28" s="934">
        <v>0</v>
      </c>
      <c r="AH28" s="934">
        <v>0</v>
      </c>
      <c r="AI28" s="934">
        <v>0</v>
      </c>
      <c r="AJ28" s="934">
        <v>0</v>
      </c>
      <c r="AK28" s="934">
        <v>0</v>
      </c>
      <c r="AL28" s="934">
        <v>0</v>
      </c>
      <c r="AM28" s="934">
        <v>0</v>
      </c>
      <c r="AN28" s="934">
        <v>0</v>
      </c>
      <c r="AO28" s="934">
        <v>0</v>
      </c>
      <c r="AP28" s="934">
        <v>0</v>
      </c>
      <c r="AQ28" s="934">
        <v>0</v>
      </c>
      <c r="AR28" s="934">
        <v>0</v>
      </c>
      <c r="AS28" s="934">
        <v>0</v>
      </c>
      <c r="AT28" s="934">
        <v>0</v>
      </c>
      <c r="AU28" s="934">
        <v>0</v>
      </c>
      <c r="AV28" s="934">
        <v>0</v>
      </c>
      <c r="AW28" s="934">
        <v>0</v>
      </c>
      <c r="AX28" s="934">
        <v>0</v>
      </c>
      <c r="AY28" s="934">
        <v>0</v>
      </c>
      <c r="AZ28" s="934">
        <v>0</v>
      </c>
      <c r="BA28" s="934">
        <v>0</v>
      </c>
      <c r="BB28" s="934">
        <v>0</v>
      </c>
      <c r="BC28" s="934">
        <v>0</v>
      </c>
      <c r="BD28" s="934">
        <v>0</v>
      </c>
      <c r="BE28" s="934">
        <v>0</v>
      </c>
      <c r="BF28" s="934">
        <v>0</v>
      </c>
      <c r="BG28" s="934">
        <v>0</v>
      </c>
      <c r="BH28" s="934">
        <v>0</v>
      </c>
      <c r="BI28" s="934">
        <v>0</v>
      </c>
      <c r="BJ28" s="934">
        <v>0</v>
      </c>
      <c r="BK28" s="934">
        <v>0</v>
      </c>
      <c r="BL28" s="934">
        <v>0</v>
      </c>
      <c r="BM28" s="934">
        <v>0</v>
      </c>
      <c r="BN28" s="934">
        <v>0</v>
      </c>
      <c r="BO28" s="934">
        <v>0</v>
      </c>
      <c r="BP28" s="934">
        <v>0</v>
      </c>
      <c r="BQ28" s="934">
        <v>0</v>
      </c>
      <c r="BR28" s="934">
        <v>0</v>
      </c>
      <c r="BS28" s="934">
        <v>0</v>
      </c>
      <c r="BT28" s="934">
        <v>0</v>
      </c>
      <c r="BU28" s="934">
        <v>0</v>
      </c>
      <c r="BV28" s="934">
        <v>0</v>
      </c>
      <c r="BW28" s="934">
        <v>0</v>
      </c>
      <c r="BX28" s="934">
        <v>0</v>
      </c>
      <c r="BY28" s="934">
        <v>0</v>
      </c>
      <c r="BZ28" s="934">
        <v>0</v>
      </c>
      <c r="CA28" s="934">
        <v>0</v>
      </c>
      <c r="CB28" s="934">
        <v>0</v>
      </c>
      <c r="CC28" s="934">
        <v>0</v>
      </c>
      <c r="CD28" s="934">
        <v>0</v>
      </c>
      <c r="CE28" s="934">
        <v>0</v>
      </c>
      <c r="CF28" s="934">
        <v>0</v>
      </c>
      <c r="CG28" s="934">
        <v>0</v>
      </c>
      <c r="CH28" s="934">
        <v>0</v>
      </c>
      <c r="CI28" s="934">
        <v>0</v>
      </c>
      <c r="CJ28" s="934">
        <v>0</v>
      </c>
      <c r="CK28" s="934">
        <v>0</v>
      </c>
      <c r="CL28" s="934">
        <v>0</v>
      </c>
      <c r="CM28" s="934">
        <v>0</v>
      </c>
      <c r="CN28" s="934">
        <v>0</v>
      </c>
      <c r="CO28" s="934">
        <v>0</v>
      </c>
      <c r="CP28" s="934">
        <v>0</v>
      </c>
      <c r="CQ28" s="934">
        <v>0</v>
      </c>
      <c r="CR28" s="934">
        <v>0</v>
      </c>
      <c r="CS28" s="934">
        <v>0</v>
      </c>
      <c r="CT28" s="934">
        <v>0</v>
      </c>
      <c r="CU28" s="934">
        <v>0</v>
      </c>
      <c r="CV28" s="934">
        <v>0</v>
      </c>
      <c r="CW28" s="934">
        <v>0</v>
      </c>
      <c r="CX28" s="934">
        <v>0</v>
      </c>
      <c r="CY28" s="934">
        <v>0</v>
      </c>
      <c r="CZ28" s="934">
        <v>0</v>
      </c>
      <c r="DA28" s="934">
        <v>0</v>
      </c>
      <c r="DB28" s="934">
        <v>0</v>
      </c>
      <c r="DC28" s="934">
        <v>0</v>
      </c>
      <c r="DD28" s="934">
        <v>0</v>
      </c>
      <c r="DE28" s="934">
        <v>0</v>
      </c>
      <c r="DF28" s="934">
        <v>0</v>
      </c>
      <c r="DG28" s="934">
        <v>0</v>
      </c>
      <c r="DH28" s="934">
        <v>0</v>
      </c>
      <c r="DI28" s="934">
        <v>0</v>
      </c>
      <c r="DJ28" s="934">
        <v>0</v>
      </c>
      <c r="DK28" s="934">
        <v>0</v>
      </c>
      <c r="DL28" s="934">
        <v>0</v>
      </c>
      <c r="DM28" s="934">
        <v>0</v>
      </c>
      <c r="DN28" s="934">
        <v>0</v>
      </c>
      <c r="DO28" s="934">
        <v>0</v>
      </c>
      <c r="DP28" s="934">
        <v>0</v>
      </c>
      <c r="DQ28" s="934">
        <v>0</v>
      </c>
      <c r="DR28" s="934">
        <v>0</v>
      </c>
      <c r="DS28" s="934">
        <v>0</v>
      </c>
      <c r="DT28" s="934">
        <v>0</v>
      </c>
      <c r="DU28" s="934">
        <v>0</v>
      </c>
      <c r="DV28" s="934">
        <v>0</v>
      </c>
      <c r="DW28" s="934">
        <v>0</v>
      </c>
      <c r="DX28" s="934">
        <v>0</v>
      </c>
      <c r="DY28" s="934">
        <v>0</v>
      </c>
      <c r="DZ28" s="934">
        <v>0</v>
      </c>
      <c r="EA28" s="934">
        <v>0</v>
      </c>
      <c r="EB28" s="934">
        <v>0</v>
      </c>
      <c r="EC28" s="934">
        <v>0</v>
      </c>
      <c r="ED28" s="934">
        <v>0</v>
      </c>
      <c r="EE28" s="934">
        <v>0</v>
      </c>
      <c r="EF28" s="934">
        <v>0</v>
      </c>
      <c r="EG28" s="934">
        <v>0</v>
      </c>
      <c r="EH28" s="934">
        <v>0</v>
      </c>
      <c r="EI28" s="934">
        <v>0</v>
      </c>
      <c r="EJ28" s="934">
        <v>0</v>
      </c>
      <c r="EK28" s="934">
        <v>0</v>
      </c>
      <c r="EL28" s="934">
        <v>0</v>
      </c>
      <c r="EM28" s="934">
        <v>0</v>
      </c>
      <c r="EN28" s="934">
        <v>0</v>
      </c>
      <c r="EO28" s="934">
        <v>0</v>
      </c>
      <c r="EP28" s="934">
        <v>0</v>
      </c>
      <c r="EQ28" s="934">
        <v>0</v>
      </c>
      <c r="ER28" s="934">
        <v>0</v>
      </c>
      <c r="ES28" s="934">
        <v>0</v>
      </c>
      <c r="ET28" s="934">
        <v>0</v>
      </c>
      <c r="EU28" s="934">
        <v>0</v>
      </c>
      <c r="EV28" s="934">
        <v>0</v>
      </c>
      <c r="EW28" s="934">
        <v>0</v>
      </c>
      <c r="EX28" s="934">
        <v>0</v>
      </c>
      <c r="EY28" s="934">
        <v>0</v>
      </c>
      <c r="EZ28" s="934">
        <v>0</v>
      </c>
      <c r="FA28" s="934">
        <v>0</v>
      </c>
      <c r="FB28" s="934">
        <v>0</v>
      </c>
      <c r="FC28" s="934">
        <v>0</v>
      </c>
      <c r="FD28" s="934">
        <v>0</v>
      </c>
      <c r="FE28" s="934">
        <v>0</v>
      </c>
      <c r="FF28" s="934">
        <v>0</v>
      </c>
      <c r="FG28" s="934">
        <v>0</v>
      </c>
      <c r="FH28" s="934">
        <v>0</v>
      </c>
      <c r="FI28" s="934">
        <v>0</v>
      </c>
      <c r="FJ28" s="934">
        <v>0</v>
      </c>
      <c r="FK28" s="934">
        <v>0</v>
      </c>
      <c r="FL28" s="934">
        <v>0</v>
      </c>
      <c r="FM28" s="934">
        <v>0</v>
      </c>
      <c r="FN28" s="934">
        <v>0</v>
      </c>
      <c r="FO28" s="934">
        <v>0</v>
      </c>
      <c r="FP28" s="934">
        <v>0</v>
      </c>
      <c r="FQ28" s="934">
        <v>0</v>
      </c>
      <c r="FR28" s="934">
        <v>0</v>
      </c>
      <c r="FS28" s="934">
        <v>0</v>
      </c>
      <c r="FT28" s="934">
        <v>0</v>
      </c>
      <c r="FU28" s="934">
        <v>0</v>
      </c>
      <c r="FV28" s="934">
        <v>0</v>
      </c>
      <c r="FW28" s="934">
        <v>0</v>
      </c>
      <c r="FX28" s="934">
        <v>8</v>
      </c>
      <c r="FY28" s="934">
        <v>8</v>
      </c>
      <c r="FZ28" s="934">
        <v>8</v>
      </c>
      <c r="GA28" s="934">
        <v>8</v>
      </c>
      <c r="GB28" s="934">
        <v>8</v>
      </c>
      <c r="GC28"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70A87-4B1F-FACF-7F06-9B22920B439A}" mc:Ignorable="x14ac xr xr2 xr3">
  <sheetPr>
    <tabColor theme="2" tint="-0.1"/>
  </sheetPr>
  <dimension ref="A1:W23"/>
  <sheetViews>
    <sheetView showGridLines="0" zoomScale="90" workbookViewId="0">
      <pane xSplit="7" ySplit="14" topLeftCell="L15" activePane="bottomRight" state="frozen"/>
      <selection pane="bottomLeft" activeCell="A15" sqref="A15"/>
      <selection pane="topRight" activeCell="H1" sqref="H1"/>
      <selection pane="bottomRight" activeCell="L8" sqref="L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12" style="1643" width="42.421875" customWidth="1"/>
    <col min="13" max="13" style="1374" width="93.00390625" customWidth="1"/>
    <col min="14" max="21" style="1643" width="10.00390625" customWidth="1"/>
    <col min="22" max="22" style="683" width="10.00390625" customWidth="1"/>
    <col min="23" max="23" style="1643" width="10.57421875" hidden="1"/>
  </cols>
  <sheetData>
    <row s="1374" customFormat="1" customHeight="1" ht="15" hidden="1">
      <c r="C1" s="680"/>
      <c r="H1" s="425">
        <v>4</v>
      </c>
      <c r="I1" s="1374"/>
      <c r="J1" s="1374"/>
      <c r="K1" s="1374"/>
      <c r="L1" s="1374"/>
      <c r="V1" s="428"/>
      <c r="W1" s="425" t="s">
        <v>14</v>
      </c>
    </row>
    <row customHeight="1" ht="22.5" hidden="1">
      <c r="C2" s="1933" t="s">
        <v>103</v>
      </c>
      <c r="D2" s="547"/>
      <c r="E2" s="671"/>
      <c r="F2" s="1768" t="str">
        <f>IF(TEMPLATE_SPHERE="HEAT","Гкал/час","тыс. куб. м/сутки")</f>
        <v>Гкал/час</v>
      </c>
      <c r="G2" s="688"/>
      <c r="H2" s="688"/>
      <c r="I2" s="688"/>
      <c r="J2" s="688"/>
      <c r="K2" s="688"/>
      <c r="L2" s="688"/>
      <c r="M2" s="297"/>
      <c r="W2" s="513">
        <v>0</v>
      </c>
    </row>
    <row s="1374" customFormat="1" customHeight="1" ht="15" hidden="1">
      <c r="C3" s="680"/>
      <c r="I3" s="1374"/>
      <c r="J3" s="1374"/>
      <c r="K3" s="1374"/>
      <c r="L3" s="1374"/>
      <c r="V3" s="428"/>
      <c r="W3" s="425">
        <v>0</v>
      </c>
    </row>
    <row customHeight="1" ht="15.75">
      <c r="C4" s="184"/>
      <c r="D4" s="517"/>
      <c r="E4" s="517"/>
      <c r="F4" s="517"/>
      <c r="G4" s="517"/>
      <c r="H4" s="517"/>
      <c r="I4" s="1643"/>
      <c r="J4" s="1643"/>
      <c r="K4" s="1643"/>
      <c r="L4" s="1643"/>
      <c r="W4" s="513">
        <v>15</v>
      </c>
    </row>
    <row customHeight="1" ht="39.75">
      <c r="C5" s="184"/>
      <c r="D5" s="225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8"/>
      <c r="F5" s="2258"/>
      <c r="G5" s="2258"/>
      <c r="H5" s="2258"/>
      <c r="I5" s="2269"/>
      <c r="J5" s="2269"/>
      <c r="K5" s="2269"/>
      <c r="L5" s="2269"/>
      <c r="M5" s="545"/>
      <c r="W5" s="513">
        <v>38</v>
      </c>
    </row>
    <row customHeight="1" ht="15.75">
      <c r="C6" s="184"/>
      <c r="D6" s="2197" t="str">
        <f>IF(org=0,"Не определено",org)</f>
        <v>АО "ДГК"</v>
      </c>
      <c r="E6" s="2197"/>
      <c r="F6" s="2197"/>
      <c r="G6" s="2197"/>
      <c r="H6" s="2197"/>
      <c r="I6" s="2270"/>
      <c r="J6" s="2270"/>
      <c r="K6" s="2270"/>
      <c r="L6" s="2270"/>
      <c r="M6" s="545"/>
      <c r="W6" s="513">
        <v>15</v>
      </c>
    </row>
    <row s="1643" customFormat="1" customHeight="1" ht="15.75">
      <c r="A7" s="767"/>
      <c r="C7" s="184"/>
      <c r="D7" s="684"/>
      <c r="E7" s="684"/>
      <c r="F7" s="684"/>
      <c r="G7" s="684"/>
      <c r="H7" s="760"/>
      <c r="I7" s="2428" t="s">
        <v>22</v>
      </c>
      <c r="J7" s="2428" t="s">
        <v>22</v>
      </c>
      <c r="K7" s="2428" t="s">
        <v>22</v>
      </c>
      <c r="L7" s="2428" t="s">
        <v>22</v>
      </c>
      <c r="M7" s="545"/>
      <c r="V7" s="683"/>
      <c r="W7" s="766">
        <v>15</v>
      </c>
    </row>
    <row customHeight="1" ht="1.05">
      <c r="C8" s="184"/>
      <c r="D8" s="517"/>
      <c r="E8" s="517"/>
      <c r="F8" s="517"/>
      <c r="G8" s="517"/>
      <c r="H8" s="545" t="s">
        <v>126</v>
      </c>
      <c r="I8" s="1643" t="s">
        <v>132</v>
      </c>
      <c r="J8" s="1643" t="s">
        <v>135</v>
      </c>
      <c r="K8" s="1643" t="s">
        <v>137</v>
      </c>
      <c r="L8" s="1643" t="s">
        <v>139</v>
      </c>
      <c r="W8" s="513">
        <v>1</v>
      </c>
    </row>
    <row customHeight="1" ht="15.75">
      <c r="C9" s="184"/>
      <c r="D9" s="719"/>
      <c r="E9" s="2388" t="s">
        <v>114</v>
      </c>
      <c r="F9" s="2389"/>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241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16" t="str">
        <f>IF(J8="","",INDEX(DIFFERENTIATION_UNMERGE_VD,MATCH(J8,DIFFERENTIATION_ID_DIFF,0)))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416" t="str">
        <f>IF(K8="","",INDEX(DIFFERENTIATION_UNMERGE_VD,MATCH(K8,DIFFERENTIATION_ID_DIFF,0)))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16" t="str">
        <f>IF(L8="","",INDEX(DIFFERENTIATION_UNMERGE_VD,MATCH(L8,DIFFERENTIATION_ID_DIFF,0)))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M9" s="2148" t="s">
        <v>318</v>
      </c>
      <c r="W9" s="513">
        <v>15</v>
      </c>
    </row>
    <row s="1643" customFormat="1" customHeight="1" ht="15.75">
      <c r="A10" s="767"/>
      <c r="C10" s="184"/>
      <c r="D10" s="719"/>
      <c r="E10" s="2388" t="s">
        <v>581</v>
      </c>
      <c r="F10" s="2389"/>
      <c r="G10" s="824" t="str">
        <f>IF(G8="","",INDEX(DIFFERENTIATION_UNMERGE_AREA,MATCH(G8,DIFFERENTIATION_ID_DIFF,0)))</f>
        <v/>
      </c>
      <c r="H10" s="824" t="str">
        <f>IF(H8="","",INDEX(DIFFERENTIATION_UNMERGE_AREA,MATCH(H8,DIFFERENTIATION_ID_DIFF,0)))</f>
        <v>Территория 1</v>
      </c>
      <c r="I10" s="2416" t="str">
        <f>IF(I8="","",INDEX(DIFFERENTIATION_UNMERGE_AREA,MATCH(I8,DIFFERENTIATION_ID_DIFF,0)))</f>
        <v>Территория 2</v>
      </c>
      <c r="J10" s="2416" t="str">
        <f>IF(J8="","",INDEX(DIFFERENTIATION_UNMERGE_AREA,MATCH(J8,DIFFERENTIATION_ID_DIFF,0)))</f>
        <v>Территория 2</v>
      </c>
      <c r="K10" s="2416" t="str">
        <f>IF(K8="","",INDEX(DIFFERENTIATION_UNMERGE_AREA,MATCH(K8,DIFFERENTIATION_ID_DIFF,0)))</f>
        <v>Территория 3</v>
      </c>
      <c r="L10" s="2416" t="str">
        <f>IF(L8="","",INDEX(DIFFERENTIATION_UNMERGE_AREA,MATCH(L8,DIFFERENTIATION_ID_DIFF,0)))</f>
        <v>Территория 3</v>
      </c>
      <c r="M10" s="2148"/>
      <c r="V10" s="683"/>
      <c r="W10" s="766">
        <v>15</v>
      </c>
    </row>
    <row s="1643" customFormat="1" customHeight="1" ht="15.75">
      <c r="A11" s="767"/>
      <c r="C11" s="184"/>
      <c r="D11" s="719"/>
      <c r="E11" s="2388" t="s">
        <v>582</v>
      </c>
      <c r="F11" s="2389"/>
      <c r="G11" s="824" t="str">
        <f>IF(G8="","",INDEX(DIFFERENTIATION_UNMERGE_SYSTEM,MATCH(G8,DIFFERENTIATION_ID_DIFF,0)))</f>
        <v/>
      </c>
      <c r="H11" s="824" t="str">
        <f>IF(H8="","",INDEX(DIFFERENTIATION_UNMERGE_SYSTEM,MATCH(H8,DIFFERENTIATION_ID_DIFF,0)))</f>
        <v>Благовещенская ТЭЦ, ТС Благовещенск</v>
      </c>
      <c r="I11" s="2416" t="str">
        <f>IF(I8="","",INDEX(DIFFERENTIATION_UNMERGE_SYSTEM,MATCH(I8,DIFFERENTIATION_ID_DIFF,0)))</f>
        <v>Райчихинская ГРЭС, ТС Прогресс</v>
      </c>
      <c r="J11" s="2416" t="str">
        <f>IF(J8="","",INDEX(DIFFERENTIATION_UNMERGE_SYSTEM,MATCH(J8,DIFFERENTIATION_ID_DIFF,0)))</f>
        <v>Котельная (Новорайчихинск)</v>
      </c>
      <c r="K11" s="2416" t="str">
        <f>IF(K8="","",INDEX(DIFFERENTIATION_UNMERGE_SYSTEM,MATCH(K8,DIFFERENTIATION_ID_DIFF,0)))</f>
        <v>Благовещенская ТЭЦ (с. Чигири)</v>
      </c>
      <c r="L11" s="2416" t="str">
        <f>IF(L8="","",INDEX(DIFFERENTIATION_UNMERGE_SYSTEM,MATCH(L8,DIFFERENTIATION_ID_DIFF,0)))</f>
        <v>Котельная Центральная (с.Чигири)</v>
      </c>
      <c r="M11" s="2148"/>
      <c r="V11" s="683"/>
      <c r="W11" s="766">
        <v>15</v>
      </c>
    </row>
    <row s="1643" customFormat="1" customHeight="1" ht="15.75">
      <c r="A12" s="767"/>
      <c r="C12" s="184"/>
      <c r="D12" s="2390" t="s">
        <v>317</v>
      </c>
      <c r="E12" s="2391"/>
      <c r="F12" s="2391"/>
      <c r="G12" s="895"/>
      <c r="H12" s="895"/>
      <c r="I12" s="2388"/>
      <c r="J12" s="2388"/>
      <c r="K12" s="2388"/>
      <c r="L12" s="2388"/>
      <c r="M12" s="2148"/>
      <c r="V12" s="683"/>
      <c r="W12" s="766">
        <v>15</v>
      </c>
    </row>
    <row customHeight="1" ht="35.699999999999996">
      <c r="C13" s="184"/>
      <c r="D13" s="769" t="s">
        <v>88</v>
      </c>
      <c r="E13" s="768" t="s">
        <v>319</v>
      </c>
      <c r="F13" s="768" t="s">
        <v>583</v>
      </c>
      <c r="G13" s="816" t="s">
        <v>320</v>
      </c>
      <c r="H13" s="762" t="s">
        <v>320</v>
      </c>
      <c r="I13" s="2283" t="s">
        <v>320</v>
      </c>
      <c r="J13" s="2283" t="s">
        <v>320</v>
      </c>
      <c r="K13" s="2283" t="s">
        <v>320</v>
      </c>
      <c r="L13" s="2283" t="s">
        <v>320</v>
      </c>
      <c r="M13" s="2148"/>
      <c r="W13" s="513">
        <v>34</v>
      </c>
    </row>
    <row customHeight="1" ht="15" hidden="1">
      <c r="C14" s="184"/>
      <c r="D14" s="601" t="s">
        <v>118</v>
      </c>
      <c r="E14" s="601" t="s">
        <v>102</v>
      </c>
      <c r="F14" s="601" t="s">
        <v>90</v>
      </c>
      <c r="G14" s="667" t="str">
        <f>G1&amp;".1"</f>
        <v>.1</v>
      </c>
      <c r="H14" s="667" t="str">
        <f>H1&amp;".1"</f>
        <v>4.1</v>
      </c>
      <c r="I14" s="691" t="str">
        <f>I1&amp;".1"</f>
        <v>.1</v>
      </c>
      <c r="J14" s="691" t="str">
        <f>J1&amp;".1"</f>
        <v>.1</v>
      </c>
      <c r="K14" s="691" t="str">
        <f>K1&amp;".1"</f>
        <v>.1</v>
      </c>
      <c r="L14" s="691" t="str">
        <f>L1&amp;".1"</f>
        <v>.1</v>
      </c>
      <c r="M14" s="297"/>
      <c r="W14" s="513">
        <v>0</v>
      </c>
    </row>
    <row customHeight="1" ht="15.75">
      <c r="A15" s="513"/>
      <c r="C15" s="534"/>
      <c r="D15" s="529">
        <v>1</v>
      </c>
      <c r="E15" s="1935" t="str">
        <f>TP_P_A</f>
        <v>Количество поданных заявок</v>
      </c>
      <c r="F15" s="529" t="s">
        <v>1319</v>
      </c>
      <c r="G15" s="693"/>
      <c r="H15" s="693"/>
      <c r="I15" s="693"/>
      <c r="J15" s="693"/>
      <c r="K15" s="693"/>
      <c r="L15" s="693"/>
      <c r="M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13">
        <v>15</v>
      </c>
    </row>
    <row customHeight="1" ht="15.75">
      <c r="A16" s="513"/>
      <c r="C16" s="534"/>
      <c r="D16" s="529">
        <v>2</v>
      </c>
      <c r="E16" s="1935" t="str">
        <f>TP_P_B</f>
        <v>Количество рассмотренных заявок</v>
      </c>
      <c r="F16" s="529" t="s">
        <v>1319</v>
      </c>
      <c r="G16" s="693"/>
      <c r="H16" s="693"/>
      <c r="I16" s="693"/>
      <c r="J16" s="693"/>
      <c r="K16" s="693"/>
      <c r="L16" s="693"/>
      <c r="M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13">
        <v>15</v>
      </c>
    </row>
    <row customHeight="1" ht="77.7">
      <c r="A17" s="513"/>
      <c r="C17" s="534"/>
      <c r="D17" s="529">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1319</v>
      </c>
      <c r="G17" s="693"/>
      <c r="H17" s="693"/>
      <c r="I17" s="693"/>
      <c r="J17" s="693"/>
      <c r="K17" s="693"/>
      <c r="L17" s="693"/>
      <c r="M17" s="216" t="str">
        <f>TP_P_NOTE_V</f>
        <v>Указывается количество заявок с решением об отказе в течение отчетного квартала.</v>
      </c>
      <c r="W17" s="513">
        <v>74</v>
      </c>
    </row>
    <row customHeight="1" ht="54.75">
      <c r="A18" s="513"/>
      <c r="C18" s="534"/>
      <c r="D18" s="529">
        <v>4</v>
      </c>
      <c r="E18" s="1935" t="str">
        <f>TP_P_V_1</f>
        <v>Причины отказа в заключении договора о подключении (технологическом присоединении) к системе теплоснабжения</v>
      </c>
      <c r="F18" s="529" t="s">
        <v>323</v>
      </c>
      <c r="G18" s="694"/>
      <c r="H18" s="694"/>
      <c r="I18" s="2374"/>
      <c r="J18" s="2374"/>
      <c r="K18" s="2374"/>
      <c r="L18" s="2374"/>
      <c r="M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13">
        <v>52</v>
      </c>
    </row>
    <row customHeight="1" ht="60">
      <c r="A19" s="513"/>
      <c r="C19" s="534"/>
      <c r="D19" s="529">
        <v>5</v>
      </c>
      <c r="E19" s="1935"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695">
        <f>SUM(I20:I22)</f>
        <v>0</v>
      </c>
      <c r="J19" s="695">
        <f>SUM(J20:J22)</f>
        <v>0</v>
      </c>
      <c r="K19" s="695">
        <f>SUM(K20:K22)</f>
        <v>0</v>
      </c>
      <c r="L19" s="695">
        <f>SUM(L20:L22)</f>
        <v>0</v>
      </c>
      <c r="M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13">
        <v>57</v>
      </c>
    </row>
    <row customHeight="1" ht="15" hidden="1">
      <c r="D20" s="517" t="s">
        <v>1320</v>
      </c>
      <c r="E20" s="696"/>
      <c r="F20" s="517"/>
      <c r="G20" s="517"/>
      <c r="H20" s="517"/>
      <c r="I20" s="1643"/>
      <c r="J20" s="1643"/>
      <c r="K20" s="1643"/>
      <c r="L20" s="1643"/>
      <c r="M20" s="1770"/>
      <c r="W20" s="513">
        <v>0</v>
      </c>
    </row>
    <row customHeight="1" ht="29.25">
      <c r="C21" s="459"/>
      <c r="D21" s="547" t="s">
        <v>330</v>
      </c>
      <c r="E21" s="678"/>
      <c r="F21" s="1768" t="str">
        <f>IF(TEMPLATE_SPHERE="HEAT","Гкал/час","тыс. куб. м/сутки")</f>
        <v>Гкал/час</v>
      </c>
      <c r="G21" s="688"/>
      <c r="H21" s="688"/>
      <c r="I21" s="688"/>
      <c r="J21" s="688"/>
      <c r="K21" s="688"/>
      <c r="L21" s="688"/>
      <c r="M21" s="219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13">
        <v>28</v>
      </c>
    </row>
    <row customHeight="1" ht="15.75">
      <c r="A22" s="513"/>
      <c r="C22" s="513"/>
      <c r="D22" s="355"/>
      <c r="E22" s="588" t="s">
        <v>1321</v>
      </c>
      <c r="F22" s="580"/>
      <c r="G22" s="580"/>
      <c r="H22" s="580"/>
      <c r="I22" s="2727"/>
      <c r="J22" s="2728"/>
      <c r="K22" s="2729"/>
      <c r="L22" s="2730"/>
      <c r="M22" s="2192"/>
      <c r="V22" s="513"/>
      <c r="W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425">
        <v>93</v>
      </c>
      <c r="N23" s="513">
        <v>10</v>
      </c>
      <c r="O23" s="513">
        <v>10</v>
      </c>
      <c r="P23" s="513">
        <v>10</v>
      </c>
      <c r="Q23" s="513">
        <v>10</v>
      </c>
      <c r="R23" s="513">
        <v>10</v>
      </c>
      <c r="S23" s="513">
        <v>10</v>
      </c>
      <c r="T23" s="513">
        <v>10</v>
      </c>
      <c r="U23" s="513">
        <v>10</v>
      </c>
      <c r="V23" s="683">
        <v>10</v>
      </c>
      <c r="W23" s="513">
        <v>23</v>
      </c>
    </row>
  </sheetData>
  <sheetProtection sheet="1" formatColumns="0" formatRows="0" autoFilter="0" sort="1" insertRows="1" insertColumns="1" deleteRows="1" deleteColumns="1"/>
  <mergeCells count="8">
    <mergeCell ref="M21:M22"/>
    <mergeCell ref="M9:M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L18">
      <formula1>900</formula1>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A36A3-B4CE-940D-CC31-0CD653E362D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7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6"/>
      <c r="F5" s="2476"/>
      <c r="G5" s="2477"/>
      <c r="Q5" s="91">
        <v>28</v>
      </c>
    </row>
    <row s="1643" customFormat="1" customHeight="1" ht="18.75">
      <c r="A6" s="890"/>
      <c r="B6" s="425"/>
      <c r="C6" s="384"/>
      <c r="D6" s="2478" t="str">
        <f>IF(org=0,"Не определено",org)</f>
        <v>АО "ДГК"</v>
      </c>
      <c r="E6" s="2479"/>
      <c r="F6" s="2479"/>
      <c r="G6" s="2480"/>
      <c r="I6" s="508"/>
      <c r="J6" s="508"/>
      <c r="Q6" s="766">
        <v>18</v>
      </c>
    </row>
    <row customHeight="1" ht="14.699999999999998">
      <c r="C7" s="104"/>
      <c r="D7" s="92"/>
      <c r="E7" s="103"/>
      <c r="F7" s="760"/>
      <c r="G7" s="201"/>
      <c r="Q7" s="91">
        <v>14</v>
      </c>
    </row>
    <row s="1643" customFormat="1" customHeight="1" ht="1.05">
      <c r="A8" s="1676"/>
      <c r="B8" s="1168"/>
      <c r="C8" s="384"/>
      <c r="D8" s="371"/>
      <c r="E8" s="397"/>
      <c r="F8" s="760"/>
      <c r="G8" s="201"/>
      <c r="I8" s="1632"/>
      <c r="J8" s="1632"/>
      <c r="Q8" s="1639">
        <v>1</v>
      </c>
    </row>
    <row customHeight="1" ht="14.699999999999998">
      <c r="C9" s="104"/>
      <c r="D9" s="2230" t="s">
        <v>317</v>
      </c>
      <c r="E9" s="2230"/>
      <c r="F9" s="2230"/>
      <c r="G9" s="2410" t="s">
        <v>318</v>
      </c>
      <c r="Q9" s="91">
        <v>14</v>
      </c>
    </row>
    <row customHeight="1" ht="24">
      <c r="C10" s="104"/>
      <c r="D10" s="113" t="s">
        <v>88</v>
      </c>
      <c r="E10" s="116" t="s">
        <v>319</v>
      </c>
      <c r="F10" s="116" t="s">
        <v>407</v>
      </c>
      <c r="G10" s="2410"/>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323</v>
      </c>
      <c r="G12" s="159"/>
      <c r="Q12" s="91">
        <v>62</v>
      </c>
    </row>
    <row customHeight="1" ht="24">
      <c r="A13" s="200"/>
      <c r="C13" s="104"/>
      <c r="D13" s="155" t="s">
        <v>1223</v>
      </c>
      <c r="E13" s="20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6" t="s">
        <v>323</v>
      </c>
      <c r="G13" s="159"/>
      <c r="Q13" s="91">
        <v>23</v>
      </c>
    </row>
    <row customHeight="1" ht="14.699999999999998">
      <c r="A14" s="200"/>
      <c r="C14" s="104"/>
      <c r="D14" s="155" t="s">
        <v>1259</v>
      </c>
      <c r="E14" s="203"/>
      <c r="F14" s="221"/>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1322</v>
      </c>
      <c r="F15" s="209"/>
      <c r="G15" s="2192"/>
      <c r="Q15" s="91">
        <v>15</v>
      </c>
    </row>
    <row customHeight="1" ht="14.699999999999998">
      <c r="A16" s="200"/>
      <c r="C16" s="104"/>
      <c r="D16" s="155" t="s">
        <v>1225</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323</v>
      </c>
      <c r="G16" s="345"/>
      <c r="Q16" s="91">
        <v>14</v>
      </c>
    </row>
    <row customHeight="1" ht="14.699999999999998">
      <c r="A17" s="200"/>
      <c r="C17" s="104"/>
      <c r="D17" s="155" t="s">
        <v>1267</v>
      </c>
      <c r="E17" s="203"/>
      <c r="F17" s="393"/>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1323</v>
      </c>
      <c r="F18" s="346"/>
      <c r="G18" s="2192"/>
      <c r="I18" s="358"/>
      <c r="J18" s="358"/>
      <c r="Q18" s="350">
        <v>21</v>
      </c>
    </row>
    <row s="1643" customFormat="1" customHeight="1" ht="256.5" hidden="1">
      <c r="A19" s="351"/>
      <c r="B19" s="425"/>
      <c r="C19" s="384"/>
      <c r="D19" s="892" t="s">
        <v>1227</v>
      </c>
      <c r="E19" s="891" t="s">
        <v>1324</v>
      </c>
      <c r="F19" s="393"/>
      <c r="G19" s="345" t="s">
        <v>1325</v>
      </c>
      <c r="I19" s="508"/>
      <c r="J19" s="508"/>
      <c r="Q19" s="766">
        <v>0</v>
      </c>
    </row>
    <row s="1643" customFormat="1" customHeight="1" ht="14.699999999999998">
      <c r="A20" s="351"/>
      <c r="B20" s="154"/>
      <c r="C20" s="315"/>
      <c r="D20" s="893">
        <v>2</v>
      </c>
      <c r="E20" s="338" t="s">
        <v>1326</v>
      </c>
      <c r="F20" s="206" t="s">
        <v>323</v>
      </c>
      <c r="G20" s="345"/>
      <c r="I20" s="358"/>
      <c r="J20" s="358"/>
      <c r="Q20" s="350">
        <v>14</v>
      </c>
    </row>
    <row s="1643" customFormat="1" customHeight="1" ht="18.75" hidden="1">
      <c r="A21" s="351"/>
      <c r="B21" s="154"/>
      <c r="C21" s="315"/>
      <c r="D21" s="341" t="s">
        <v>658</v>
      </c>
      <c r="E21" s="340"/>
      <c r="F21" s="339"/>
      <c r="G21" s="349"/>
      <c r="H21" s="342"/>
      <c r="I21" s="358"/>
      <c r="J21" s="358"/>
      <c r="Q21" s="350">
        <v>0</v>
      </c>
    </row>
    <row customHeight="1" ht="15.75">
      <c r="A22" s="200"/>
      <c r="C22" s="104"/>
      <c r="D22" s="117"/>
      <c r="E22" s="211" t="s">
        <v>339</v>
      </c>
      <c r="F22" s="346"/>
      <c r="G22" s="347"/>
      <c r="Q22" s="91">
        <v>15</v>
      </c>
    </row>
    <row s="1643" customFormat="1" customHeight="1" ht="22.5" hidden="1">
      <c r="A23" s="351"/>
      <c r="B23" s="1168"/>
      <c r="C23" s="384"/>
      <c r="D23" s="1680" t="s">
        <v>102</v>
      </c>
      <c r="E23" s="205" t="s">
        <v>1327</v>
      </c>
      <c r="F23" s="1677" t="s">
        <v>323</v>
      </c>
      <c r="G23" s="353"/>
      <c r="I23" s="1632"/>
      <c r="J23" s="1632"/>
      <c r="Q23" s="1639">
        <v>0</v>
      </c>
    </row>
    <row s="1643" customFormat="1" customHeight="1" ht="14.25" hidden="1">
      <c r="A24" s="351"/>
      <c r="B24" s="1168"/>
      <c r="C24" s="384"/>
      <c r="D24" s="1680" t="s">
        <v>735</v>
      </c>
      <c r="E24" s="1679" t="s">
        <v>1328</v>
      </c>
      <c r="F24" s="1677" t="s">
        <v>323</v>
      </c>
      <c r="G24" s="345"/>
      <c r="I24" s="1632"/>
      <c r="J24" s="1632"/>
      <c r="Q24" s="1639">
        <v>0</v>
      </c>
    </row>
    <row s="1643" customFormat="1" customHeight="1" ht="14.25" hidden="1">
      <c r="A25" s="351"/>
      <c r="B25" s="1168"/>
      <c r="C25" s="384"/>
      <c r="D25" s="1680" t="s">
        <v>738</v>
      </c>
      <c r="E25" s="203"/>
      <c r="F25" s="393"/>
      <c r="G25" s="2190" t="s">
        <v>1329</v>
      </c>
      <c r="I25" s="1632"/>
      <c r="J25" s="1632"/>
      <c r="Q25" s="1639">
        <v>0</v>
      </c>
    </row>
    <row s="1643" customFormat="1" customHeight="1" ht="14.25" hidden="1">
      <c r="A26" s="351"/>
      <c r="B26" s="1168"/>
      <c r="C26" s="384"/>
      <c r="D26" s="355"/>
      <c r="E26" s="357" t="s">
        <v>1330</v>
      </c>
      <c r="F26" s="346"/>
      <c r="G26" s="2192"/>
      <c r="I26" s="1632"/>
      <c r="J26" s="1632"/>
      <c r="Q26" s="1639">
        <v>0</v>
      </c>
    </row>
    <row s="1643" customFormat="1" customHeight="1" ht="33.75" hidden="1">
      <c r="A27" s="351"/>
      <c r="B27" s="1374"/>
      <c r="C27" s="384"/>
      <c r="D27" s="2084" t="s">
        <v>90</v>
      </c>
      <c r="E27" s="205" t="s">
        <v>1331</v>
      </c>
      <c r="F27" s="2085" t="s">
        <v>323</v>
      </c>
      <c r="G27" s="1533"/>
      <c r="I27" s="1632"/>
      <c r="J27" s="1632"/>
      <c r="Q27" s="1639">
        <v>0</v>
      </c>
    </row>
    <row s="1643" customFormat="1" customHeight="1" ht="22.5" hidden="1">
      <c r="A28" s="351"/>
      <c r="B28" s="1374"/>
      <c r="C28" s="384"/>
      <c r="D28" s="2084" t="s">
        <v>341</v>
      </c>
      <c r="E28" s="2086" t="s">
        <v>1332</v>
      </c>
      <c r="F28" s="2085" t="s">
        <v>323</v>
      </c>
      <c r="G28" s="345"/>
      <c r="I28" s="1632"/>
      <c r="J28" s="1632"/>
      <c r="Q28" s="1639">
        <v>0</v>
      </c>
    </row>
    <row s="1643" customFormat="1" customHeight="1" ht="14.25" hidden="1">
      <c r="A29" s="351"/>
      <c r="B29" s="1374"/>
      <c r="C29" s="384"/>
      <c r="D29" s="2084" t="s">
        <v>343</v>
      </c>
      <c r="E29" s="2631"/>
      <c r="F29" s="670"/>
      <c r="G29" s="2190" t="s">
        <v>1333</v>
      </c>
      <c r="I29" s="1632"/>
      <c r="J29" s="1632"/>
      <c r="Q29" s="1639">
        <v>0</v>
      </c>
    </row>
    <row s="1643" customFormat="1" customHeight="1" ht="14.25" hidden="1">
      <c r="A30" s="351"/>
      <c r="B30" s="1374"/>
      <c r="C30" s="384"/>
      <c r="D30" s="355"/>
      <c r="E30" s="579" t="s">
        <v>1330</v>
      </c>
      <c r="F30" s="346"/>
      <c r="G30" s="2192"/>
      <c r="I30" s="1632"/>
      <c r="J30" s="1632"/>
      <c r="Q30" s="1639">
        <v>0</v>
      </c>
    </row>
    <row customHeight="1" ht="3">
      <c r="Q31" s="91">
        <v>3</v>
      </c>
    </row>
    <row customHeight="1" ht="14.699999999999998">
      <c r="D32" s="344"/>
      <c r="E32" s="343"/>
      <c r="F32" s="323"/>
      <c r="G32" s="323"/>
      <c r="H32" s="323"/>
      <c r="I32" s="323"/>
      <c r="J32" s="323"/>
      <c r="K32" s="323"/>
      <c r="L32" s="323"/>
      <c r="M32" s="323"/>
      <c r="N32" s="323"/>
      <c r="O32" s="323"/>
      <c r="P32" s="323"/>
      <c r="Q32" s="91">
        <v>14</v>
      </c>
    </row>
    <row customHeight="1" ht="14.699999999999998">
      <c r="D33" s="344"/>
      <c r="E33" s="590"/>
      <c r="Q33" s="91">
        <v>14</v>
      </c>
    </row>
    <row customHeight="1" ht="14.699999999999998">
      <c r="Q34" s="91">
        <v>14</v>
      </c>
    </row>
    <row customHeight="1" ht="14.699999999999998">
      <c r="E35" s="766"/>
      <c r="Q35" s="91">
        <v>14</v>
      </c>
    </row>
    <row customHeight="1" ht="22.5" hidden="1">
      <c r="A36" s="109" t="s">
        <v>82</v>
      </c>
      <c r="B36" s="154">
        <v>0</v>
      </c>
      <c r="C36" s="105">
        <v>3</v>
      </c>
      <c r="D36" s="91">
        <v>6</v>
      </c>
      <c r="E36" s="91">
        <v>64</v>
      </c>
      <c r="F36" s="91">
        <v>64</v>
      </c>
      <c r="G36" s="91">
        <v>140</v>
      </c>
      <c r="H36" s="91">
        <v>10</v>
      </c>
      <c r="I36" s="163">
        <v>10</v>
      </c>
      <c r="J36" s="163">
        <v>10</v>
      </c>
      <c r="K36" s="91">
        <v>10</v>
      </c>
      <c r="L36" s="91">
        <v>10</v>
      </c>
      <c r="M36" s="91">
        <v>10</v>
      </c>
      <c r="N36" s="91">
        <v>10</v>
      </c>
      <c r="O36" s="91">
        <v>10</v>
      </c>
      <c r="P36" s="91">
        <v>10</v>
      </c>
      <c r="Q36" s="91">
        <v>23</v>
      </c>
    </row>
  </sheetData>
  <sheetProtection sheet="1" formatColumns="0" formatRows="0" autoFilter="0" sort="1" insertRows="1" insertColumns="1" deleteRows="1" deleteColumns="1"/>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5E81C-3908-F6E2-ACD9-F16ADC1A0A8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3"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0"/>
      <c r="B2" s="1168"/>
      <c r="C2" s="1737" t="s">
        <v>103</v>
      </c>
      <c r="D2" s="1680"/>
      <c r="E2" s="207"/>
      <c r="F2" s="1677"/>
      <c r="G2" s="1677" t="s">
        <v>323</v>
      </c>
      <c r="H2" s="1169"/>
      <c r="K2" s="1632"/>
      <c r="L2" s="1632"/>
      <c r="M2" s="1639">
        <v>0</v>
      </c>
    </row>
    <row s="1643" customFormat="1" customHeight="1" ht="14.25" hidden="1">
      <c r="A3" s="1370"/>
      <c r="B3" s="1168"/>
      <c r="C3" s="352"/>
      <c r="K3" s="1632"/>
      <c r="L3" s="1632"/>
      <c r="M3" s="1639">
        <v>0</v>
      </c>
    </row>
    <row s="1643" customFormat="1" customHeight="1" ht="18.75" hidden="1">
      <c r="A4" s="1690"/>
      <c r="B4" s="1168"/>
      <c r="C4" s="1737" t="s">
        <v>103</v>
      </c>
      <c r="D4" s="1680"/>
      <c r="E4" s="213" t="s">
        <v>1334</v>
      </c>
      <c r="F4" s="1677"/>
      <c r="G4" s="265"/>
      <c r="H4" s="1677" t="s">
        <v>323</v>
      </c>
      <c r="K4" s="1632"/>
      <c r="L4" s="1632"/>
      <c r="M4" s="1639">
        <v>0</v>
      </c>
    </row>
    <row s="1643" customFormat="1" customHeight="1" ht="14.25" hidden="1">
      <c r="A5" s="1370"/>
      <c r="B5" s="1168"/>
      <c r="C5" s="352"/>
      <c r="K5" s="1632"/>
      <c r="L5" s="1632"/>
      <c r="M5" s="1639">
        <v>0</v>
      </c>
    </row>
    <row s="1643" customFormat="1" customHeight="1" ht="18.75" hidden="1">
      <c r="A6" s="1690"/>
      <c r="B6" s="1168"/>
      <c r="C6" s="1737" t="s">
        <v>103</v>
      </c>
      <c r="D6" s="1680"/>
      <c r="E6" s="214" t="s">
        <v>1335</v>
      </c>
      <c r="F6" s="1677"/>
      <c r="G6" s="265"/>
      <c r="H6" s="1677" t="s">
        <v>323</v>
      </c>
      <c r="K6" s="1632"/>
      <c r="L6" s="1632"/>
      <c r="M6" s="1639">
        <v>0</v>
      </c>
    </row>
    <row s="1643" customFormat="1" customHeight="1" ht="14.25" hidden="1">
      <c r="A7" s="1370"/>
      <c r="B7" s="1168"/>
      <c r="C7" s="352"/>
      <c r="K7" s="1632"/>
      <c r="L7" s="1632"/>
      <c r="M7" s="1639">
        <v>0</v>
      </c>
    </row>
    <row s="1643" customFormat="1" customHeight="1" ht="18.75" hidden="1">
      <c r="A8" s="1690"/>
      <c r="B8" s="1168"/>
      <c r="C8" s="1737" t="s">
        <v>103</v>
      </c>
      <c r="D8" s="1680"/>
      <c r="E8" s="214" t="s">
        <v>1336</v>
      </c>
      <c r="F8" s="1677"/>
      <c r="G8" s="265"/>
      <c r="H8" s="1677" t="s">
        <v>323</v>
      </c>
      <c r="K8" s="1632"/>
      <c r="L8" s="1632"/>
      <c r="M8" s="1639">
        <v>0</v>
      </c>
    </row>
    <row s="1643" customFormat="1" customHeight="1" ht="14.25" hidden="1">
      <c r="A9" s="1370"/>
      <c r="B9" s="1168"/>
      <c r="C9" s="352"/>
      <c r="K9" s="1632"/>
      <c r="L9" s="1632"/>
      <c r="M9" s="1639">
        <v>0</v>
      </c>
    </row>
    <row s="1643" customFormat="1" customHeight="1" ht="18.75" hidden="1">
      <c r="A10" s="1690"/>
      <c r="B10" s="1168"/>
      <c r="C10" s="1737" t="s">
        <v>103</v>
      </c>
      <c r="D10" s="1680"/>
      <c r="E10" s="214" t="s">
        <v>1337</v>
      </c>
      <c r="F10" s="1677"/>
      <c r="G10" s="1681"/>
      <c r="H10" s="1677" t="s">
        <v>323</v>
      </c>
      <c r="K10" s="1632"/>
      <c r="L10" s="1632" t="s">
        <v>1338</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7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6"/>
      <c r="F14" s="2476"/>
      <c r="G14" s="2476"/>
      <c r="H14" s="2477"/>
      <c r="J14" s="1639"/>
      <c r="M14" s="91">
        <v>28</v>
      </c>
    </row>
    <row s="1643" customFormat="1" customHeight="1" ht="14.699999999999998">
      <c r="A15" s="1370"/>
      <c r="B15" s="1168"/>
      <c r="C15" s="384"/>
      <c r="D15" s="2478" t="str">
        <f>IF(org=0,"Не определено",org)</f>
        <v>АО "ДГК"</v>
      </c>
      <c r="E15" s="2479"/>
      <c r="F15" s="2479"/>
      <c r="G15" s="2479"/>
      <c r="H15" s="2480"/>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30" t="s">
        <v>317</v>
      </c>
      <c r="E18" s="2230"/>
      <c r="F18" s="2230"/>
      <c r="G18" s="2230"/>
      <c r="H18" s="2230"/>
      <c r="I18" s="2410" t="s">
        <v>318</v>
      </c>
      <c r="M18" s="91">
        <v>21</v>
      </c>
    </row>
    <row customHeight="1" ht="22.049999999999997">
      <c r="C19" s="104"/>
      <c r="D19" s="113" t="s">
        <v>88</v>
      </c>
      <c r="E19" s="116" t="s">
        <v>319</v>
      </c>
      <c r="F19" s="116"/>
      <c r="G19" s="116" t="s">
        <v>320</v>
      </c>
      <c r="H19" s="116" t="s">
        <v>407</v>
      </c>
      <c r="I19" s="2410"/>
      <c r="M19" s="91">
        <v>21</v>
      </c>
    </row>
    <row customHeight="1" ht="12" hidden="1">
      <c r="C20" s="104"/>
      <c r="D20" s="95"/>
      <c r="E20" s="95"/>
      <c r="F20" s="95"/>
      <c r="G20" s="95"/>
      <c r="H20" s="95"/>
      <c r="I20" s="95"/>
      <c r="M20" s="91">
        <v>0</v>
      </c>
    </row>
    <row customHeight="1" ht="14.699999999999998">
      <c r="A21" s="1690"/>
      <c r="C21" s="104"/>
      <c r="D21" s="155">
        <v>1</v>
      </c>
      <c r="E21" s="2482" t="s">
        <v>1339</v>
      </c>
      <c r="F21" s="2482"/>
      <c r="G21" s="2482"/>
      <c r="H21" s="2482"/>
      <c r="I21" s="216"/>
      <c r="M21" s="91">
        <v>14</v>
      </c>
    </row>
    <row customHeight="1" ht="21">
      <c r="A22" s="1690"/>
      <c r="C22" s="104"/>
      <c r="D22" s="155" t="s">
        <v>1223</v>
      </c>
      <c r="E22" s="202" t="s">
        <v>1340</v>
      </c>
      <c r="F22" s="206"/>
      <c r="G22" s="1744"/>
      <c r="H22" s="206" t="s">
        <v>323</v>
      </c>
      <c r="I22" s="159" t="s">
        <v>1341</v>
      </c>
      <c r="M22" s="91">
        <v>20</v>
      </c>
    </row>
    <row customHeight="1" ht="60">
      <c r="A23" s="1690"/>
      <c r="C23" s="104"/>
      <c r="D23" s="155" t="s">
        <v>1225</v>
      </c>
      <c r="E23" s="202" t="s">
        <v>1342</v>
      </c>
      <c r="F23" s="206"/>
      <c r="G23" s="265"/>
      <c r="H23" s="221"/>
      <c r="I23" s="266" t="s">
        <v>1343</v>
      </c>
      <c r="M23" s="91">
        <v>57</v>
      </c>
    </row>
    <row customHeight="1" ht="14.699999999999998">
      <c r="A24" s="1690"/>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323</v>
      </c>
      <c r="H24" s="221"/>
      <c r="I24" s="267" t="s">
        <v>653</v>
      </c>
      <c r="M24" s="91">
        <v>14</v>
      </c>
    </row>
    <row customHeight="1" ht="48.29999999999999">
      <c r="A25" s="1690"/>
      <c r="C25" s="104"/>
      <c r="D25" s="155">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1"/>
      <c r="G25" s="2481"/>
      <c r="H25" s="2481"/>
      <c r="I25" s="264"/>
      <c r="M25" s="91">
        <v>46</v>
      </c>
    </row>
    <row customHeight="1" ht="14.699999999999998">
      <c r="A26" s="1690"/>
      <c r="C26" s="104"/>
      <c r="D26" s="155" t="s">
        <v>341</v>
      </c>
      <c r="E26" s="207"/>
      <c r="F26" s="206"/>
      <c r="G26" s="206" t="s">
        <v>323</v>
      </c>
      <c r="H26" s="221"/>
      <c r="I26" s="2190" t="s">
        <v>1344</v>
      </c>
      <c r="M26" s="91">
        <v>14</v>
      </c>
    </row>
    <row customHeight="1" ht="15.75">
      <c r="A27" s="1690" t="s">
        <v>118</v>
      </c>
      <c r="C27" s="104"/>
      <c r="D27" s="117"/>
      <c r="E27" s="211" t="s">
        <v>339</v>
      </c>
      <c r="F27" s="212"/>
      <c r="G27" s="212"/>
      <c r="H27" s="209"/>
      <c r="I27" s="2192"/>
      <c r="M27" s="91">
        <v>15</v>
      </c>
    </row>
    <row customHeight="1" ht="39.75">
      <c r="A28" s="1690"/>
      <c r="B28" s="154">
        <v>3</v>
      </c>
      <c r="C28" s="104"/>
      <c r="D28" s="155">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1"/>
      <c r="G28" s="2481"/>
      <c r="H28" s="2481"/>
      <c r="I28" s="264"/>
      <c r="M28" s="91">
        <v>38</v>
      </c>
    </row>
    <row customHeight="1" ht="21">
      <c r="A29" s="1690"/>
      <c r="C29" s="104"/>
      <c r="D29" s="155" t="s">
        <v>786</v>
      </c>
      <c r="E29" s="213" t="s">
        <v>1334</v>
      </c>
      <c r="F29" s="206"/>
      <c r="G29" s="265"/>
      <c r="H29" s="206" t="s">
        <v>323</v>
      </c>
      <c r="I29" s="2190" t="s">
        <v>1345</v>
      </c>
      <c r="M29" s="91">
        <v>20</v>
      </c>
    </row>
    <row customHeight="1" ht="15.75">
      <c r="A30" s="1690" t="s">
        <v>102</v>
      </c>
      <c r="C30" s="104"/>
      <c r="D30" s="117"/>
      <c r="E30" s="211" t="s">
        <v>339</v>
      </c>
      <c r="F30" s="212"/>
      <c r="G30" s="212"/>
      <c r="H30" s="209"/>
      <c r="I30" s="2192"/>
      <c r="M30" s="91">
        <v>15</v>
      </c>
    </row>
    <row customHeight="1" ht="31.5">
      <c r="A31" s="1690"/>
      <c r="B31" s="154">
        <v>3</v>
      </c>
      <c r="C31" s="104"/>
      <c r="D31" s="155">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1"/>
      <c r="G31" s="2481"/>
      <c r="H31" s="2481"/>
      <c r="I31" s="264"/>
      <c r="M31" s="91">
        <v>30</v>
      </c>
    </row>
    <row customHeight="1" ht="27.299999999999997">
      <c r="A32" s="1690"/>
      <c r="C32" s="104"/>
      <c r="D32" s="155" t="s">
        <v>330</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4"/>
      <c r="G32" s="2424"/>
      <c r="H32" s="2424"/>
      <c r="I32" s="264"/>
      <c r="M32" s="91">
        <v>26</v>
      </c>
    </row>
    <row customHeight="1" ht="14.699999999999998">
      <c r="A33" s="1690"/>
      <c r="C33" s="104"/>
      <c r="D33" s="155" t="s">
        <v>1346</v>
      </c>
      <c r="E33" s="214" t="s">
        <v>1335</v>
      </c>
      <c r="F33" s="206"/>
      <c r="G33" s="265"/>
      <c r="H33" s="206" t="s">
        <v>323</v>
      </c>
      <c r="I33" s="2190" t="s">
        <v>1347</v>
      </c>
      <c r="M33" s="91">
        <v>14</v>
      </c>
    </row>
    <row customHeight="1" ht="15.75">
      <c r="A34" s="1690" t="s">
        <v>90</v>
      </c>
      <c r="C34" s="104"/>
      <c r="D34" s="117"/>
      <c r="E34" s="212" t="s">
        <v>339</v>
      </c>
      <c r="F34" s="208"/>
      <c r="G34" s="208"/>
      <c r="H34" s="209"/>
      <c r="I34" s="2192"/>
      <c r="M34" s="91">
        <v>15</v>
      </c>
    </row>
    <row customHeight="1" ht="25.2">
      <c r="A35" s="1690"/>
      <c r="C35" s="104"/>
      <c r="D35" s="155" t="s">
        <v>927</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4"/>
      <c r="G35" s="2424"/>
      <c r="H35" s="2424"/>
      <c r="I35" s="264"/>
      <c r="M35" s="91">
        <v>24</v>
      </c>
    </row>
    <row customHeight="1" ht="14.699999999999998">
      <c r="A36" s="1690"/>
      <c r="C36" s="104"/>
      <c r="D36" s="155" t="s">
        <v>1348</v>
      </c>
      <c r="E36" s="214" t="s">
        <v>1336</v>
      </c>
      <c r="F36" s="206"/>
      <c r="G36" s="265"/>
      <c r="H36" s="206" t="s">
        <v>323</v>
      </c>
      <c r="I36" s="2164" t="s">
        <v>1349</v>
      </c>
      <c r="M36" s="91">
        <v>14</v>
      </c>
    </row>
    <row customHeight="1" ht="15.75">
      <c r="A37" s="1690" t="s">
        <v>91</v>
      </c>
      <c r="C37" s="104"/>
      <c r="D37" s="117"/>
      <c r="E37" s="212" t="s">
        <v>339</v>
      </c>
      <c r="F37" s="208"/>
      <c r="G37" s="208"/>
      <c r="H37" s="209"/>
      <c r="I37" s="2164"/>
      <c r="M37" s="91">
        <v>15</v>
      </c>
    </row>
    <row customHeight="1" ht="27.299999999999997">
      <c r="A38" s="1690"/>
      <c r="C38" s="104"/>
      <c r="D38" s="155" t="s">
        <v>928</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4"/>
      <c r="G38" s="2424"/>
      <c r="H38" s="2424"/>
      <c r="I38" s="264"/>
      <c r="M38" s="91">
        <v>26</v>
      </c>
    </row>
    <row customHeight="1" ht="14.699999999999998">
      <c r="A39" s="1690"/>
      <c r="C39" s="104"/>
      <c r="D39" s="155" t="s">
        <v>929</v>
      </c>
      <c r="E39" s="214" t="s">
        <v>1337</v>
      </c>
      <c r="F39" s="206"/>
      <c r="G39" s="215"/>
      <c r="H39" s="206" t="s">
        <v>323</v>
      </c>
      <c r="I39" s="2190" t="s">
        <v>1350</v>
      </c>
      <c r="L39" s="163" t="s">
        <v>1338</v>
      </c>
      <c r="M39" s="91">
        <v>14</v>
      </c>
    </row>
    <row customHeight="1" ht="15.75">
      <c r="A40" s="1690" t="s">
        <v>119</v>
      </c>
      <c r="C40" s="104"/>
      <c r="D40" s="117"/>
      <c r="E40" s="212" t="s">
        <v>339</v>
      </c>
      <c r="F40" s="208"/>
      <c r="G40" s="208"/>
      <c r="H40" s="209"/>
      <c r="I40" s="2192"/>
      <c r="M40" s="91">
        <v>15</v>
      </c>
    </row>
    <row s="1830" customFormat="1" customHeight="1" ht="3">
      <c r="A41" s="1690"/>
      <c r="K41" s="204"/>
      <c r="L41" s="204"/>
      <c r="M41" s="148">
        <v>3</v>
      </c>
    </row>
    <row customHeight="1" ht="26.25">
      <c r="D42" s="1688" t="s">
        <v>848</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6"/>
      <c r="G42" s="2306"/>
      <c r="H42" s="2306"/>
      <c r="I42" s="2306"/>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F3606-13B9-5293-20A6-F783ABE2DCD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6" width="25.140625" hidden="1" customWidth="1"/>
    <col min="3" max="3" style="1694"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6"/>
      <c r="B1" s="1786"/>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7" t="s">
        <v>174</v>
      </c>
      <c r="B2" s="1787" t="s">
        <v>175</v>
      </c>
      <c r="C2" s="377"/>
      <c r="D2" s="352"/>
      <c r="E2" s="1039"/>
      <c r="F2" s="1039"/>
      <c r="G2" s="2448" t="str">
        <f>INDEX(PT_DIFFERENTIATION_NTAR,MATCH(B2,PT_DIFFERENTIATION_NTAR_ID,0))</f>
        <v/>
      </c>
      <c r="H2" s="1869"/>
      <c r="I2" s="1746"/>
      <c r="J2" s="1780"/>
      <c r="K2" s="1870"/>
      <c r="L2" s="1869" t="s">
        <v>323</v>
      </c>
      <c r="M2" s="1880"/>
      <c r="N2" s="342"/>
      <c r="O2" s="1632"/>
      <c r="P2" s="1632"/>
      <c r="AH2" s="1639">
        <v>0</v>
      </c>
    </row>
    <row s="1643" customFormat="1" customHeight="1" ht="18.75" hidden="1">
      <c r="A3" s="1787"/>
      <c r="B3" s="1787"/>
      <c r="C3" s="377" t="s">
        <v>1351</v>
      </c>
      <c r="D3" s="352"/>
      <c r="E3" s="1039"/>
      <c r="F3" s="1039"/>
      <c r="G3" s="2448"/>
      <c r="H3" s="1508"/>
      <c r="I3" s="659" t="s">
        <v>1352</v>
      </c>
      <c r="J3" s="579"/>
      <c r="K3" s="1508"/>
      <c r="L3" s="222"/>
      <c r="M3" s="1880"/>
      <c r="N3" s="342"/>
      <c r="O3" s="1632"/>
      <c r="P3" s="1632"/>
      <c r="AH3" s="1639">
        <v>0</v>
      </c>
    </row>
    <row s="1643" customFormat="1" customHeight="1" ht="14.25" hidden="1">
      <c r="A4" s="1786"/>
      <c r="B4" s="1786"/>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7" t="s">
        <v>174</v>
      </c>
      <c r="B5" s="1787" t="s">
        <v>175</v>
      </c>
      <c r="C5" s="377"/>
      <c r="D5" s="352"/>
      <c r="E5" s="1039"/>
      <c r="F5" s="1039"/>
      <c r="G5" s="2448" t="str">
        <f>INDEX(PT_DIFFERENTIATION_NTAR,MATCH(B5,PT_DIFFERENTIATION_NTAR_ID,0))</f>
        <v/>
      </c>
      <c r="H5" s="1869"/>
      <c r="I5" s="1746"/>
      <c r="J5" s="1780"/>
      <c r="K5" s="1785"/>
      <c r="L5" s="1869" t="s">
        <v>323</v>
      </c>
      <c r="M5" s="1880"/>
      <c r="N5" s="342"/>
      <c r="O5" s="1632"/>
      <c r="P5" s="1632"/>
      <c r="AH5" s="1639">
        <v>0</v>
      </c>
    </row>
    <row s="1643" customFormat="1" customHeight="1" ht="18.75" hidden="1">
      <c r="A6" s="1787"/>
      <c r="B6" s="1787"/>
      <c r="C6" s="377" t="s">
        <v>1353</v>
      </c>
      <c r="D6" s="352"/>
      <c r="E6" s="1039"/>
      <c r="F6" s="1039"/>
      <c r="G6" s="2448"/>
      <c r="H6" s="1508"/>
      <c r="I6" s="659" t="s">
        <v>1352</v>
      </c>
      <c r="J6" s="579"/>
      <c r="K6" s="1508"/>
      <c r="L6" s="222"/>
      <c r="M6" s="1880"/>
      <c r="N6" s="342"/>
      <c r="O6" s="1632"/>
      <c r="P6" s="1632"/>
      <c r="AH6" s="1639">
        <v>0</v>
      </c>
    </row>
    <row s="1643" customFormat="1" customHeight="1" ht="14.25" hidden="1">
      <c r="A7" s="1786"/>
      <c r="B7" s="1786"/>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7"/>
      <c r="B8" s="1787"/>
      <c r="C8" s="377"/>
      <c r="D8" s="352"/>
      <c r="E8" s="1039"/>
      <c r="F8" s="1039"/>
      <c r="G8" s="1039"/>
      <c r="H8" s="1778"/>
      <c r="I8" s="1746"/>
      <c r="J8" s="1780"/>
      <c r="K8" s="1870"/>
      <c r="L8" s="1778" t="s">
        <v>323</v>
      </c>
      <c r="M8" s="1880"/>
      <c r="N8" s="342"/>
      <c r="O8" s="1632"/>
      <c r="P8" s="1632"/>
      <c r="AH8" s="1639">
        <v>0</v>
      </c>
    </row>
    <row customHeight="1" ht="14.25" hidden="1">
      <c r="T9" s="405"/>
      <c r="AG9" s="263"/>
      <c r="AH9" s="382">
        <v>0</v>
      </c>
    </row>
    <row s="1643" customFormat="1" customHeight="1" ht="56.25" hidden="1">
      <c r="A10" s="1787"/>
      <c r="B10" s="1787"/>
      <c r="C10" s="377"/>
      <c r="D10" s="352"/>
      <c r="E10" s="1039"/>
      <c r="F10" s="1039"/>
      <c r="G10" s="1039"/>
      <c r="H10" s="1777"/>
      <c r="I10" s="1746"/>
      <c r="J10" s="1780"/>
      <c r="K10" s="1785"/>
      <c r="L10" s="1778" t="s">
        <v>323</v>
      </c>
      <c r="M10" s="1880"/>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6"/>
      <c r="G14" s="2486"/>
      <c r="H14" s="2486"/>
      <c r="I14" s="2486"/>
      <c r="J14" s="2486"/>
      <c r="K14" s="2486"/>
      <c r="L14" s="2486"/>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30" t="s">
        <v>317</v>
      </c>
      <c r="F19" s="2230"/>
      <c r="G19" s="2230"/>
      <c r="H19" s="2230"/>
      <c r="I19" s="2230"/>
      <c r="J19" s="2230"/>
      <c r="K19" s="2230"/>
      <c r="L19" s="2230"/>
      <c r="M19" s="2410" t="s">
        <v>318</v>
      </c>
      <c r="AH19" s="382">
        <v>21</v>
      </c>
    </row>
    <row customHeight="1" ht="22.049999999999997">
      <c r="D20" s="384"/>
      <c r="E20" s="2298" t="s">
        <v>88</v>
      </c>
      <c r="F20" s="2245" t="s">
        <v>141</v>
      </c>
      <c r="G20" s="2245" t="s">
        <v>142</v>
      </c>
      <c r="H20" s="2407" t="s">
        <v>1354</v>
      </c>
      <c r="I20" s="2408"/>
      <c r="J20" s="2454"/>
      <c r="K20" s="2245" t="s">
        <v>320</v>
      </c>
      <c r="L20" s="2245" t="s">
        <v>407</v>
      </c>
      <c r="M20" s="2410"/>
      <c r="AH20" s="382">
        <v>21</v>
      </c>
    </row>
    <row customHeight="1" ht="22.049999999999997">
      <c r="D21" s="384"/>
      <c r="E21" s="2300"/>
      <c r="F21" s="2246"/>
      <c r="G21" s="2246"/>
      <c r="H21" s="2239" t="s">
        <v>1355</v>
      </c>
      <c r="I21" s="2241"/>
      <c r="J21" s="116" t="s">
        <v>1356</v>
      </c>
      <c r="K21" s="2246"/>
      <c r="L21" s="2246"/>
      <c r="M21" s="2410"/>
      <c r="AH21" s="382">
        <v>21</v>
      </c>
    </row>
    <row customHeight="1" ht="12.75">
      <c r="D22" s="384"/>
      <c r="E22" s="289"/>
      <c r="F22" s="289"/>
      <c r="G22" s="289"/>
      <c r="H22" s="2488"/>
      <c r="I22" s="2488"/>
      <c r="J22" s="289"/>
      <c r="K22" s="289"/>
      <c r="L22" s="289"/>
      <c r="M22" s="289"/>
      <c r="AH22" s="382">
        <v>12</v>
      </c>
    </row>
    <row customHeight="1" ht="19.95">
      <c r="A23" s="1787"/>
      <c r="B23" s="1787"/>
      <c r="D23" s="384"/>
      <c r="E23" s="1871" t="s">
        <v>118</v>
      </c>
      <c r="F23" s="2489" t="str">
        <f>"Предлагаемый метод регулирования"&amp;IF(TEMPLATE_SPHERE="HEAT"," в сфере "&amp;TEMPLATE_SPHERE_RUS,"")</f>
        <v>Предлагаемый метод регулирования в сфере теплоснабжения</v>
      </c>
      <c r="G23" s="2490"/>
      <c r="H23" s="2482"/>
      <c r="I23" s="2482"/>
      <c r="J23" s="2482"/>
      <c r="K23" s="2490" t="s">
        <v>323</v>
      </c>
      <c r="L23" s="2482"/>
      <c r="M23" s="1776"/>
      <c r="N23" s="342"/>
      <c r="AH23" s="382">
        <v>19</v>
      </c>
    </row>
    <row customHeight="1" ht="60.75" hidden="1">
      <c r="A24" s="1787" t="s">
        <v>174</v>
      </c>
      <c r="B24" s="1787" t="s">
        <v>175</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7"/>
      <c r="I24" s="1746"/>
      <c r="J24" s="1780"/>
      <c r="K24" s="1870"/>
      <c r="L24" s="1775" t="s">
        <v>323</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7"/>
      <c r="B25" s="1787"/>
      <c r="C25" s="377" t="s">
        <v>1351</v>
      </c>
      <c r="D25" s="2487"/>
      <c r="E25" s="2225"/>
      <c r="F25" s="2491"/>
      <c r="G25" s="2448"/>
      <c r="H25" s="1508"/>
      <c r="I25" s="659" t="s">
        <v>1352</v>
      </c>
      <c r="J25" s="579"/>
      <c r="K25" s="1508"/>
      <c r="L25" s="222"/>
      <c r="M25" s="2191"/>
      <c r="N25" s="342"/>
      <c r="O25" s="1632"/>
      <c r="P25" s="1632"/>
      <c r="AH25" s="1639">
        <v>0</v>
      </c>
    </row>
    <row customHeight="1" ht="0.75" hidden="1">
      <c r="A26" s="1787"/>
      <c r="B26" s="1787"/>
      <c r="C26" s="377" t="s">
        <v>1357</v>
      </c>
      <c r="D26" s="2487"/>
      <c r="E26" s="2225"/>
      <c r="F26" s="2404"/>
      <c r="G26" s="408"/>
      <c r="H26" s="1508"/>
      <c r="I26" s="403"/>
      <c r="J26" s="357"/>
      <c r="K26" s="1508"/>
      <c r="L26" s="209"/>
      <c r="M26" s="2191"/>
      <c r="N26" s="342"/>
      <c r="AH26" s="382">
        <v>0</v>
      </c>
    </row>
    <row s="1643" customFormat="1" customHeight="1" ht="45" hidden="1">
      <c r="A27" s="1787" t="s">
        <v>179</v>
      </c>
      <c r="B27" s="1787" t="s">
        <v>180</v>
      </c>
      <c r="C27" s="377"/>
      <c r="D27" s="2483"/>
      <c r="E27" s="2484"/>
      <c r="F27" s="2485" t="str">
        <f>INDEX(PT_DIFFERENTIATION_VTAR,MATCH(A27,PT_DIFFERENTIATION_VTAR_ID,0))</f>
        <v/>
      </c>
      <c r="G27" s="2448" t="str">
        <f>INDEX(PT_DIFFERENTIATION_NTAR,MATCH(B27,PT_DIFFERENTIATION_NTAR_ID,0))</f>
        <v/>
      </c>
      <c r="H27" s="1867"/>
      <c r="I27" s="1746"/>
      <c r="J27" s="1780"/>
      <c r="K27" s="1870"/>
      <c r="L27" s="1867" t="s">
        <v>323</v>
      </c>
      <c r="M27" s="2191"/>
      <c r="N27" s="342"/>
      <c r="O27" s="1632"/>
      <c r="P27" s="1632"/>
      <c r="AH27" s="1639">
        <v>0</v>
      </c>
    </row>
    <row s="1643" customFormat="1" customHeight="1" ht="18.75" hidden="1">
      <c r="A28" s="1787"/>
      <c r="B28" s="1787"/>
      <c r="C28" s="377" t="s">
        <v>1351</v>
      </c>
      <c r="D28" s="2483"/>
      <c r="E28" s="2484"/>
      <c r="F28" s="2485"/>
      <c r="G28" s="2448"/>
      <c r="H28" s="1508"/>
      <c r="I28" s="659" t="s">
        <v>1352</v>
      </c>
      <c r="J28" s="579"/>
      <c r="K28" s="1508"/>
      <c r="L28" s="222"/>
      <c r="M28" s="2191"/>
      <c r="N28" s="342"/>
      <c r="O28" s="1632"/>
      <c r="P28" s="1632"/>
      <c r="AH28" s="1639">
        <v>0</v>
      </c>
    </row>
    <row s="1643" customFormat="1" customHeight="1" ht="0.75" hidden="1">
      <c r="A29" s="1787"/>
      <c r="B29" s="1787"/>
      <c r="C29" s="377" t="s">
        <v>1357</v>
      </c>
      <c r="D29" s="2483"/>
      <c r="E29" s="2225"/>
      <c r="F29" s="2404"/>
      <c r="G29" s="408"/>
      <c r="H29" s="1508"/>
      <c r="I29" s="659"/>
      <c r="J29" s="579"/>
      <c r="K29" s="1508"/>
      <c r="L29" s="222"/>
      <c r="M29" s="2191"/>
      <c r="N29" s="342"/>
      <c r="O29" s="1632"/>
      <c r="P29" s="1632"/>
      <c r="AH29" s="1639">
        <v>0</v>
      </c>
    </row>
    <row s="1643" customFormat="1" customHeight="1" ht="45" hidden="1">
      <c r="A30" s="1787" t="s">
        <v>186</v>
      </c>
      <c r="B30" s="1787" t="s">
        <v>187</v>
      </c>
      <c r="C30" s="377"/>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7"/>
      <c r="I30" s="1746"/>
      <c r="J30" s="1780"/>
      <c r="K30" s="1870"/>
      <c r="L30" s="1867" t="s">
        <v>323</v>
      </c>
      <c r="M30" s="2191"/>
      <c r="N30" s="342"/>
      <c r="O30" s="1632"/>
      <c r="P30" s="1632"/>
      <c r="AH30" s="1639">
        <v>0</v>
      </c>
    </row>
    <row s="1643" customFormat="1" customHeight="1" ht="18.75" hidden="1">
      <c r="A31" s="1787"/>
      <c r="B31" s="1787"/>
      <c r="C31" s="377" t="s">
        <v>1351</v>
      </c>
      <c r="D31" s="2483"/>
      <c r="E31" s="2225"/>
      <c r="F31" s="2404"/>
      <c r="G31" s="2448"/>
      <c r="H31" s="1508"/>
      <c r="I31" s="659" t="s">
        <v>1352</v>
      </c>
      <c r="J31" s="579"/>
      <c r="K31" s="1508"/>
      <c r="L31" s="222"/>
      <c r="M31" s="2191"/>
      <c r="N31" s="342"/>
      <c r="O31" s="1632"/>
      <c r="P31" s="1632"/>
      <c r="AH31" s="1639">
        <v>0</v>
      </c>
    </row>
    <row s="1643" customFormat="1" customHeight="1" ht="0.75" hidden="1">
      <c r="A32" s="1787"/>
      <c r="B32" s="1787"/>
      <c r="C32" s="377" t="s">
        <v>1357</v>
      </c>
      <c r="D32" s="2483"/>
      <c r="E32" s="2225"/>
      <c r="F32" s="2404"/>
      <c r="G32" s="408"/>
      <c r="H32" s="1508"/>
      <c r="I32" s="659"/>
      <c r="J32" s="579"/>
      <c r="K32" s="1508"/>
      <c r="L32" s="222"/>
      <c r="M32" s="2191"/>
      <c r="N32" s="342"/>
      <c r="O32" s="1632"/>
      <c r="P32" s="1632"/>
      <c r="AH32" s="1639">
        <v>0</v>
      </c>
    </row>
    <row s="1643" customFormat="1" customHeight="1" ht="45" hidden="1">
      <c r="A33" s="1787" t="s">
        <v>192</v>
      </c>
      <c r="B33" s="1787" t="s">
        <v>193</v>
      </c>
      <c r="C33" s="377"/>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7"/>
      <c r="I33" s="1746"/>
      <c r="J33" s="1780"/>
      <c r="K33" s="1870"/>
      <c r="L33" s="1867" t="s">
        <v>323</v>
      </c>
      <c r="M33" s="2191"/>
      <c r="N33" s="342"/>
      <c r="O33" s="1632"/>
      <c r="P33" s="1632"/>
      <c r="AH33" s="1639">
        <v>0</v>
      </c>
    </row>
    <row s="1643" customFormat="1" customHeight="1" ht="18.75" hidden="1">
      <c r="A34" s="1787"/>
      <c r="B34" s="1787"/>
      <c r="C34" s="377" t="s">
        <v>1351</v>
      </c>
      <c r="D34" s="2483"/>
      <c r="E34" s="2225"/>
      <c r="F34" s="2404"/>
      <c r="G34" s="2448"/>
      <c r="H34" s="1508"/>
      <c r="I34" s="659" t="s">
        <v>1352</v>
      </c>
      <c r="J34" s="579"/>
      <c r="K34" s="1508"/>
      <c r="L34" s="222"/>
      <c r="M34" s="2191"/>
      <c r="N34" s="342"/>
      <c r="O34" s="1632"/>
      <c r="P34" s="1632"/>
      <c r="AH34" s="1639">
        <v>0</v>
      </c>
    </row>
    <row s="1643" customFormat="1" customHeight="1" ht="0.75" hidden="1">
      <c r="A35" s="1787"/>
      <c r="B35" s="1787"/>
      <c r="C35" s="377" t="s">
        <v>1357</v>
      </c>
      <c r="D35" s="2483"/>
      <c r="E35" s="2225"/>
      <c r="F35" s="2404"/>
      <c r="G35" s="408"/>
      <c r="H35" s="1508"/>
      <c r="I35" s="659"/>
      <c r="J35" s="579"/>
      <c r="K35" s="1508"/>
      <c r="L35" s="222"/>
      <c r="M35" s="2191"/>
      <c r="N35" s="342"/>
      <c r="O35" s="1632"/>
      <c r="P35" s="1632"/>
      <c r="AH35" s="1639">
        <v>0</v>
      </c>
    </row>
    <row s="1643" customFormat="1" customHeight="1" ht="18.75" hidden="1">
      <c r="A36" s="1787" t="s">
        <v>198</v>
      </c>
      <c r="B36" s="1787" t="s">
        <v>199</v>
      </c>
      <c r="C36" s="377"/>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7"/>
      <c r="I36" s="1746"/>
      <c r="J36" s="1780"/>
      <c r="K36" s="1870"/>
      <c r="L36" s="1867" t="s">
        <v>323</v>
      </c>
      <c r="M36" s="2191"/>
      <c r="N36" s="342"/>
      <c r="O36" s="1632"/>
      <c r="P36" s="1632"/>
      <c r="AH36" s="1639">
        <v>0</v>
      </c>
    </row>
    <row s="1643" customFormat="1" customHeight="1" ht="18.75" hidden="1">
      <c r="A37" s="1787"/>
      <c r="B37" s="1787"/>
      <c r="C37" s="377" t="s">
        <v>1351</v>
      </c>
      <c r="D37" s="2483"/>
      <c r="E37" s="2225"/>
      <c r="F37" s="2404"/>
      <c r="G37" s="2448"/>
      <c r="H37" s="1508"/>
      <c r="I37" s="659" t="s">
        <v>1352</v>
      </c>
      <c r="J37" s="579"/>
      <c r="K37" s="1508"/>
      <c r="L37" s="222"/>
      <c r="M37" s="2191"/>
      <c r="N37" s="342"/>
      <c r="O37" s="1632"/>
      <c r="P37" s="1632"/>
      <c r="AH37" s="1639">
        <v>0</v>
      </c>
    </row>
    <row s="1643" customFormat="1" customHeight="1" ht="0.75" hidden="1">
      <c r="A38" s="1787"/>
      <c r="B38" s="1787"/>
      <c r="C38" s="377" t="s">
        <v>1357</v>
      </c>
      <c r="D38" s="2483"/>
      <c r="E38" s="2225"/>
      <c r="F38" s="2404"/>
      <c r="G38" s="408"/>
      <c r="H38" s="1508"/>
      <c r="I38" s="659"/>
      <c r="J38" s="579"/>
      <c r="K38" s="1508"/>
      <c r="L38" s="222"/>
      <c r="M38" s="2191"/>
      <c r="N38" s="342"/>
      <c r="O38" s="1632"/>
      <c r="P38" s="1632"/>
      <c r="AH38" s="1639">
        <v>0</v>
      </c>
    </row>
    <row s="1643" customFormat="1" customHeight="1" ht="18.75" hidden="1">
      <c r="A39" s="1787" t="s">
        <v>204</v>
      </c>
      <c r="B39" s="1787" t="s">
        <v>205</v>
      </c>
      <c r="C39" s="377"/>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7"/>
      <c r="I39" s="1746"/>
      <c r="J39" s="1780"/>
      <c r="K39" s="1870"/>
      <c r="L39" s="1867" t="s">
        <v>323</v>
      </c>
      <c r="M39" s="2191"/>
      <c r="N39" s="342"/>
      <c r="O39" s="1632"/>
      <c r="P39" s="1632"/>
      <c r="AH39" s="1639">
        <v>0</v>
      </c>
    </row>
    <row s="1643" customFormat="1" customHeight="1" ht="18.75" hidden="1">
      <c r="A40" s="1787"/>
      <c r="B40" s="1787"/>
      <c r="C40" s="377" t="s">
        <v>1351</v>
      </c>
      <c r="D40" s="2483"/>
      <c r="E40" s="2225"/>
      <c r="F40" s="2404"/>
      <c r="G40" s="2448"/>
      <c r="H40" s="1508"/>
      <c r="I40" s="659" t="s">
        <v>1352</v>
      </c>
      <c r="J40" s="579"/>
      <c r="K40" s="1508"/>
      <c r="L40" s="222"/>
      <c r="M40" s="2191"/>
      <c r="N40" s="342"/>
      <c r="O40" s="1632"/>
      <c r="P40" s="1632"/>
      <c r="AH40" s="1639">
        <v>0</v>
      </c>
    </row>
    <row s="1643" customFormat="1" customHeight="1" ht="0.75" hidden="1">
      <c r="A41" s="1787"/>
      <c r="B41" s="1787"/>
      <c r="C41" s="377" t="s">
        <v>1357</v>
      </c>
      <c r="D41" s="2483"/>
      <c r="E41" s="2225"/>
      <c r="F41" s="2404"/>
      <c r="G41" s="408"/>
      <c r="H41" s="1508"/>
      <c r="I41" s="659"/>
      <c r="J41" s="579"/>
      <c r="K41" s="1508"/>
      <c r="L41" s="222"/>
      <c r="M41" s="2191"/>
      <c r="N41" s="342"/>
      <c r="O41" s="1632"/>
      <c r="P41" s="1632"/>
      <c r="AH41" s="1639">
        <v>0</v>
      </c>
    </row>
    <row s="1643" customFormat="1" customHeight="1" ht="18.75" hidden="1">
      <c r="A42" s="1787" t="s">
        <v>210</v>
      </c>
      <c r="B42" s="1787" t="s">
        <v>211</v>
      </c>
      <c r="C42" s="377"/>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7"/>
      <c r="I42" s="1746"/>
      <c r="J42" s="1780"/>
      <c r="K42" s="1870"/>
      <c r="L42" s="1867" t="s">
        <v>323</v>
      </c>
      <c r="M42" s="2191"/>
      <c r="N42" s="342"/>
      <c r="O42" s="1632"/>
      <c r="P42" s="1632"/>
      <c r="AH42" s="1639">
        <v>0</v>
      </c>
    </row>
    <row s="1643" customFormat="1" customHeight="1" ht="18.75" hidden="1">
      <c r="A43" s="1787"/>
      <c r="B43" s="1787"/>
      <c r="C43" s="377" t="s">
        <v>1351</v>
      </c>
      <c r="D43" s="2483"/>
      <c r="E43" s="2225"/>
      <c r="F43" s="2404"/>
      <c r="G43" s="2448"/>
      <c r="H43" s="1508"/>
      <c r="I43" s="659" t="s">
        <v>1352</v>
      </c>
      <c r="J43" s="579"/>
      <c r="K43" s="1508"/>
      <c r="L43" s="222"/>
      <c r="M43" s="2191"/>
      <c r="N43" s="342"/>
      <c r="O43" s="1632"/>
      <c r="P43" s="1632"/>
      <c r="AH43" s="1639">
        <v>0</v>
      </c>
    </row>
    <row s="1643" customFormat="1" customHeight="1" ht="0.75" hidden="1">
      <c r="A44" s="1787"/>
      <c r="B44" s="1787"/>
      <c r="C44" s="377" t="s">
        <v>1357</v>
      </c>
      <c r="D44" s="2483"/>
      <c r="E44" s="2225"/>
      <c r="F44" s="2404"/>
      <c r="G44" s="408"/>
      <c r="H44" s="1508"/>
      <c r="I44" s="659"/>
      <c r="J44" s="579"/>
      <c r="K44" s="1508"/>
      <c r="L44" s="222"/>
      <c r="M44" s="2191"/>
      <c r="N44" s="342"/>
      <c r="O44" s="1632"/>
      <c r="P44" s="1632"/>
      <c r="AH44" s="1639">
        <v>0</v>
      </c>
    </row>
    <row s="1643" customFormat="1" customHeight="1" ht="18.75" hidden="1">
      <c r="A45" s="1787" t="s">
        <v>216</v>
      </c>
      <c r="B45" s="1787" t="s">
        <v>217</v>
      </c>
      <c r="C45" s="377"/>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7"/>
      <c r="I45" s="1746"/>
      <c r="J45" s="1780"/>
      <c r="K45" s="1870"/>
      <c r="L45" s="1867" t="s">
        <v>323</v>
      </c>
      <c r="M45" s="2191"/>
      <c r="N45" s="342"/>
      <c r="O45" s="1632"/>
      <c r="P45" s="1632"/>
      <c r="AH45" s="1639">
        <v>0</v>
      </c>
    </row>
    <row s="1643" customFormat="1" customHeight="1" ht="18.75" hidden="1">
      <c r="A46" s="1787"/>
      <c r="B46" s="1787"/>
      <c r="C46" s="377" t="s">
        <v>1351</v>
      </c>
      <c r="D46" s="2483"/>
      <c r="E46" s="2225"/>
      <c r="F46" s="2404"/>
      <c r="G46" s="2448"/>
      <c r="H46" s="1508"/>
      <c r="I46" s="659" t="s">
        <v>1352</v>
      </c>
      <c r="J46" s="579"/>
      <c r="K46" s="1508"/>
      <c r="L46" s="222"/>
      <c r="M46" s="2191"/>
      <c r="N46" s="342"/>
      <c r="O46" s="1632"/>
      <c r="P46" s="1632"/>
      <c r="AH46" s="1639">
        <v>0</v>
      </c>
    </row>
    <row s="1643" customFormat="1" customHeight="1" ht="0.75" hidden="1">
      <c r="A47" s="1787"/>
      <c r="B47" s="1787"/>
      <c r="C47" s="377" t="s">
        <v>1357</v>
      </c>
      <c r="D47" s="2483"/>
      <c r="E47" s="2225"/>
      <c r="F47" s="2404"/>
      <c r="G47" s="408"/>
      <c r="H47" s="1508"/>
      <c r="I47" s="659"/>
      <c r="J47" s="579"/>
      <c r="K47" s="1508"/>
      <c r="L47" s="222"/>
      <c r="M47" s="2191"/>
      <c r="N47" s="342"/>
      <c r="O47" s="1632"/>
      <c r="P47" s="1632"/>
      <c r="AH47" s="1639">
        <v>0</v>
      </c>
    </row>
    <row s="1643" customFormat="1" customHeight="1" ht="18.75" hidden="1">
      <c r="A48" s="1787" t="s">
        <v>222</v>
      </c>
      <c r="B48" s="1787" t="s">
        <v>223</v>
      </c>
      <c r="C48" s="377"/>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94"/>
      <c r="I48" s="1746"/>
      <c r="J48" s="1780"/>
      <c r="K48" s="1870"/>
      <c r="L48" s="1994" t="s">
        <v>323</v>
      </c>
      <c r="M48" s="2191"/>
      <c r="N48" s="342"/>
      <c r="O48" s="1632"/>
      <c r="P48" s="1632"/>
      <c r="AH48" s="1639">
        <v>0</v>
      </c>
    </row>
    <row s="1643" customFormat="1" customHeight="1" ht="18.75" hidden="1">
      <c r="A49" s="1787"/>
      <c r="B49" s="1787"/>
      <c r="C49" s="377" t="s">
        <v>1351</v>
      </c>
      <c r="D49" s="2483"/>
      <c r="E49" s="2225"/>
      <c r="F49" s="2404"/>
      <c r="G49" s="2448"/>
      <c r="H49" s="1508"/>
      <c r="I49" s="659" t="s">
        <v>1352</v>
      </c>
      <c r="J49" s="579"/>
      <c r="K49" s="1508"/>
      <c r="L49" s="222"/>
      <c r="M49" s="2191"/>
      <c r="N49" s="342"/>
      <c r="O49" s="1632"/>
      <c r="P49" s="1632"/>
      <c r="AH49" s="1639">
        <v>0</v>
      </c>
    </row>
    <row s="1643" customFormat="1" customHeight="1" ht="0.75" hidden="1">
      <c r="A50" s="1787"/>
      <c r="B50" s="1787"/>
      <c r="C50" s="377" t="s">
        <v>1357</v>
      </c>
      <c r="D50" s="2483"/>
      <c r="E50" s="2225"/>
      <c r="F50" s="2404"/>
      <c r="G50" s="408"/>
      <c r="H50" s="1508"/>
      <c r="I50" s="659"/>
      <c r="J50" s="579"/>
      <c r="K50" s="1508"/>
      <c r="L50" s="222"/>
      <c r="M50" s="2191"/>
      <c r="N50" s="342"/>
      <c r="O50" s="1632"/>
      <c r="P50" s="1632"/>
      <c r="AH50" s="1639">
        <v>0</v>
      </c>
    </row>
    <row s="1643" customFormat="1" customHeight="1" ht="18.75" hidden="1">
      <c r="A51" s="1787" t="s">
        <v>242</v>
      </c>
      <c r="B51" s="1787" t="s">
        <v>243</v>
      </c>
      <c r="C51" s="377"/>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7"/>
      <c r="I51" s="1746"/>
      <c r="J51" s="1780"/>
      <c r="K51" s="1870"/>
      <c r="L51" s="1867" t="s">
        <v>323</v>
      </c>
      <c r="M51" s="2191"/>
      <c r="N51" s="342"/>
      <c r="O51" s="1632"/>
      <c r="P51" s="1632"/>
      <c r="AH51" s="1639">
        <v>0</v>
      </c>
    </row>
    <row s="1643" customFormat="1" customHeight="1" ht="18.75" hidden="1">
      <c r="A52" s="1787"/>
      <c r="B52" s="1787"/>
      <c r="C52" s="377" t="s">
        <v>1351</v>
      </c>
      <c r="D52" s="2483"/>
      <c r="E52" s="2225"/>
      <c r="F52" s="2404"/>
      <c r="G52" s="2448"/>
      <c r="H52" s="1508"/>
      <c r="I52" s="659" t="s">
        <v>1352</v>
      </c>
      <c r="J52" s="579"/>
      <c r="K52" s="1508"/>
      <c r="L52" s="222"/>
      <c r="M52" s="2191"/>
      <c r="N52" s="342"/>
      <c r="O52" s="1632"/>
      <c r="P52" s="1632"/>
      <c r="AH52" s="1639">
        <v>0</v>
      </c>
    </row>
    <row s="1643" customFormat="1" customHeight="1" ht="0.75" hidden="1">
      <c r="A53" s="1787"/>
      <c r="B53" s="1787"/>
      <c r="C53" s="377" t="s">
        <v>1357</v>
      </c>
      <c r="D53" s="2483"/>
      <c r="E53" s="2225"/>
      <c r="F53" s="2404"/>
      <c r="G53" s="408"/>
      <c r="H53" s="1508"/>
      <c r="I53" s="659"/>
      <c r="J53" s="579"/>
      <c r="K53" s="1508"/>
      <c r="L53" s="222"/>
      <c r="M53" s="2191"/>
      <c r="N53" s="342"/>
      <c r="O53" s="1632"/>
      <c r="P53" s="1632"/>
      <c r="AH53" s="1639">
        <v>0</v>
      </c>
    </row>
    <row s="1643" customFormat="1" customHeight="1" ht="18.75" hidden="1">
      <c r="A54" s="1787" t="s">
        <v>247</v>
      </c>
      <c r="B54" s="1787" t="s">
        <v>248</v>
      </c>
      <c r="C54" s="377"/>
      <c r="D54" s="2483"/>
      <c r="E54" s="2225"/>
      <c r="F54" s="2404" t="str">
        <f>INDEX(PT_DIFFERENTIATION_VTAR,MATCH(A54,PT_DIFFERENTIATION_VTAR_ID,0))</f>
        <v>Тариф на техническую воду</v>
      </c>
      <c r="G54" s="2448" t="str">
        <f>INDEX(PT_DIFFERENTIATION_NTAR,MATCH(B54,PT_DIFFERENTIATION_NTAR_ID,0))</f>
        <v/>
      </c>
      <c r="H54" s="1867"/>
      <c r="I54" s="1746"/>
      <c r="J54" s="1780"/>
      <c r="K54" s="1870"/>
      <c r="L54" s="1867" t="s">
        <v>323</v>
      </c>
      <c r="M54" s="2191"/>
      <c r="N54" s="342"/>
      <c r="O54" s="1632"/>
      <c r="P54" s="1632"/>
      <c r="AH54" s="1639">
        <v>0</v>
      </c>
    </row>
    <row s="1643" customFormat="1" customHeight="1" ht="18.75" hidden="1">
      <c r="A55" s="1787"/>
      <c r="B55" s="1787"/>
      <c r="C55" s="377" t="s">
        <v>1351</v>
      </c>
      <c r="D55" s="2483"/>
      <c r="E55" s="2225"/>
      <c r="F55" s="2404"/>
      <c r="G55" s="2448"/>
      <c r="H55" s="1508"/>
      <c r="I55" s="659" t="s">
        <v>1352</v>
      </c>
      <c r="J55" s="579"/>
      <c r="K55" s="1508"/>
      <c r="L55" s="222"/>
      <c r="M55" s="2191"/>
      <c r="N55" s="342"/>
      <c r="O55" s="1632"/>
      <c r="P55" s="1632"/>
      <c r="AH55" s="1639">
        <v>0</v>
      </c>
    </row>
    <row s="1643" customFormat="1" customHeight="1" ht="0.75" hidden="1">
      <c r="A56" s="1787"/>
      <c r="B56" s="1787"/>
      <c r="C56" s="377" t="s">
        <v>1357</v>
      </c>
      <c r="D56" s="2483"/>
      <c r="E56" s="2225"/>
      <c r="F56" s="2404"/>
      <c r="G56" s="408"/>
      <c r="H56" s="1508"/>
      <c r="I56" s="659"/>
      <c r="J56" s="579"/>
      <c r="K56" s="1508"/>
      <c r="L56" s="222"/>
      <c r="M56" s="2191"/>
      <c r="N56" s="342"/>
      <c r="O56" s="1632"/>
      <c r="P56" s="1632"/>
      <c r="AH56" s="1639">
        <v>0</v>
      </c>
    </row>
    <row s="1643" customFormat="1" customHeight="1" ht="18.75" hidden="1">
      <c r="A57" s="1787" t="s">
        <v>252</v>
      </c>
      <c r="B57" s="1787" t="s">
        <v>253</v>
      </c>
      <c r="C57" s="377"/>
      <c r="D57" s="2483"/>
      <c r="E57" s="2225"/>
      <c r="F57" s="2404" t="str">
        <f>INDEX(PT_DIFFERENTIATION_VTAR,MATCH(A57,PT_DIFFERENTIATION_VTAR_ID,0))</f>
        <v>Тариф на транспортировку воды</v>
      </c>
      <c r="G57" s="2448" t="str">
        <f>INDEX(PT_DIFFERENTIATION_NTAR,MATCH(B57,PT_DIFFERENTIATION_NTAR_ID,0))</f>
        <v/>
      </c>
      <c r="H57" s="1867"/>
      <c r="I57" s="1746"/>
      <c r="J57" s="1780"/>
      <c r="K57" s="1870"/>
      <c r="L57" s="1867" t="s">
        <v>323</v>
      </c>
      <c r="M57" s="2191"/>
      <c r="N57" s="342"/>
      <c r="O57" s="1632"/>
      <c r="P57" s="1632"/>
      <c r="AH57" s="1639">
        <v>0</v>
      </c>
    </row>
    <row s="1643" customFormat="1" customHeight="1" ht="18.75" hidden="1">
      <c r="A58" s="1787"/>
      <c r="B58" s="1787"/>
      <c r="C58" s="377" t="s">
        <v>1351</v>
      </c>
      <c r="D58" s="2483"/>
      <c r="E58" s="2225"/>
      <c r="F58" s="2404"/>
      <c r="G58" s="2448"/>
      <c r="H58" s="1508"/>
      <c r="I58" s="659" t="s">
        <v>1352</v>
      </c>
      <c r="J58" s="579"/>
      <c r="K58" s="1508"/>
      <c r="L58" s="222"/>
      <c r="M58" s="2191"/>
      <c r="N58" s="342"/>
      <c r="O58" s="1632"/>
      <c r="P58" s="1632"/>
      <c r="AH58" s="1639">
        <v>0</v>
      </c>
    </row>
    <row s="1643" customFormat="1" customHeight="1" ht="0.75" hidden="1">
      <c r="A59" s="1787"/>
      <c r="B59" s="1787"/>
      <c r="C59" s="377" t="s">
        <v>1357</v>
      </c>
      <c r="D59" s="2483"/>
      <c r="E59" s="2225"/>
      <c r="F59" s="2404"/>
      <c r="G59" s="408"/>
      <c r="H59" s="1508"/>
      <c r="I59" s="659"/>
      <c r="J59" s="579"/>
      <c r="K59" s="1508"/>
      <c r="L59" s="222"/>
      <c r="M59" s="2191"/>
      <c r="N59" s="342"/>
      <c r="O59" s="1632"/>
      <c r="P59" s="1632"/>
      <c r="AH59" s="1639">
        <v>0</v>
      </c>
    </row>
    <row s="1643" customFormat="1" customHeight="1" ht="18.75" hidden="1">
      <c r="A60" s="1787" t="s">
        <v>257</v>
      </c>
      <c r="B60" s="1787" t="s">
        <v>258</v>
      </c>
      <c r="C60" s="377"/>
      <c r="D60" s="2483"/>
      <c r="E60" s="2225"/>
      <c r="F60" s="2404" t="str">
        <f>INDEX(PT_DIFFERENTIATION_VTAR,MATCH(A60,PT_DIFFERENTIATION_VTAR_ID,0))</f>
        <v>Тариф на подвоз воды</v>
      </c>
      <c r="G60" s="2448" t="str">
        <f>INDEX(PT_DIFFERENTIATION_NTAR,MATCH(B60,PT_DIFFERENTIATION_NTAR_ID,0))</f>
        <v/>
      </c>
      <c r="H60" s="1867"/>
      <c r="I60" s="1746"/>
      <c r="J60" s="1780"/>
      <c r="K60" s="1870"/>
      <c r="L60" s="1867" t="s">
        <v>323</v>
      </c>
      <c r="M60" s="2191"/>
      <c r="N60" s="342"/>
      <c r="O60" s="1632"/>
      <c r="P60" s="1632"/>
      <c r="AH60" s="1639">
        <v>0</v>
      </c>
    </row>
    <row s="1643" customFormat="1" customHeight="1" ht="18.75" hidden="1">
      <c r="A61" s="1787"/>
      <c r="B61" s="1787"/>
      <c r="C61" s="377" t="s">
        <v>1351</v>
      </c>
      <c r="D61" s="2483"/>
      <c r="E61" s="2225"/>
      <c r="F61" s="2404"/>
      <c r="G61" s="2448"/>
      <c r="H61" s="1508"/>
      <c r="I61" s="659" t="s">
        <v>1352</v>
      </c>
      <c r="J61" s="579"/>
      <c r="K61" s="1508"/>
      <c r="L61" s="222"/>
      <c r="M61" s="2191"/>
      <c r="N61" s="342"/>
      <c r="O61" s="1632"/>
      <c r="P61" s="1632"/>
      <c r="AH61" s="1639">
        <v>0</v>
      </c>
    </row>
    <row s="1643" customFormat="1" customHeight="1" ht="0.75" hidden="1">
      <c r="A62" s="1787"/>
      <c r="B62" s="1787"/>
      <c r="C62" s="377" t="s">
        <v>1357</v>
      </c>
      <c r="D62" s="2483"/>
      <c r="E62" s="2225"/>
      <c r="F62" s="2404"/>
      <c r="G62" s="408"/>
      <c r="H62" s="1508"/>
      <c r="I62" s="659"/>
      <c r="J62" s="579"/>
      <c r="K62" s="1508"/>
      <c r="L62" s="222"/>
      <c r="M62" s="2191"/>
      <c r="N62" s="342"/>
      <c r="O62" s="1632"/>
      <c r="P62" s="1632"/>
      <c r="AH62" s="1639">
        <v>0</v>
      </c>
    </row>
    <row s="1643" customFormat="1" customHeight="1" ht="18.75" hidden="1">
      <c r="A63" s="1787" t="s">
        <v>262</v>
      </c>
      <c r="B63" s="1787" t="s">
        <v>263</v>
      </c>
      <c r="C63" s="377"/>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7"/>
      <c r="I63" s="1746"/>
      <c r="J63" s="1780"/>
      <c r="K63" s="1870"/>
      <c r="L63" s="1867" t="s">
        <v>323</v>
      </c>
      <c r="M63" s="2191"/>
      <c r="N63" s="342"/>
      <c r="O63" s="1632"/>
      <c r="P63" s="1632"/>
      <c r="AH63" s="1639">
        <v>0</v>
      </c>
    </row>
    <row s="1643" customFormat="1" customHeight="1" ht="18.75" hidden="1">
      <c r="A64" s="1787"/>
      <c r="B64" s="1787"/>
      <c r="C64" s="377" t="s">
        <v>1351</v>
      </c>
      <c r="D64" s="2483"/>
      <c r="E64" s="2225"/>
      <c r="F64" s="2404"/>
      <c r="G64" s="2448"/>
      <c r="H64" s="1508"/>
      <c r="I64" s="659" t="s">
        <v>1352</v>
      </c>
      <c r="J64" s="579"/>
      <c r="K64" s="1508"/>
      <c r="L64" s="222"/>
      <c r="M64" s="2191"/>
      <c r="N64" s="342"/>
      <c r="O64" s="1632"/>
      <c r="P64" s="1632"/>
      <c r="AH64" s="1639">
        <v>0</v>
      </c>
    </row>
    <row s="1643" customFormat="1" customHeight="1" ht="0.75" hidden="1">
      <c r="A65" s="1787"/>
      <c r="B65" s="1787"/>
      <c r="C65" s="377" t="s">
        <v>1357</v>
      </c>
      <c r="D65" s="2483"/>
      <c r="E65" s="2225"/>
      <c r="F65" s="2404"/>
      <c r="G65" s="408"/>
      <c r="H65" s="1508"/>
      <c r="I65" s="659"/>
      <c r="J65" s="579"/>
      <c r="K65" s="1508"/>
      <c r="L65" s="222"/>
      <c r="M65" s="2191"/>
      <c r="N65" s="342"/>
      <c r="O65" s="1632"/>
      <c r="P65" s="1632"/>
      <c r="AH65" s="1639">
        <v>0</v>
      </c>
    </row>
    <row s="1643" customFormat="1" customHeight="1" ht="18.75" hidden="1">
      <c r="A66" s="1787" t="s">
        <v>267</v>
      </c>
      <c r="B66" s="1787" t="s">
        <v>268</v>
      </c>
      <c r="C66" s="377"/>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7"/>
      <c r="I66" s="1746"/>
      <c r="J66" s="1780"/>
      <c r="K66" s="1870"/>
      <c r="L66" s="1867" t="s">
        <v>323</v>
      </c>
      <c r="M66" s="2191"/>
      <c r="N66" s="342"/>
      <c r="O66" s="1632"/>
      <c r="P66" s="1632"/>
      <c r="AH66" s="1639">
        <v>0</v>
      </c>
    </row>
    <row s="1643" customFormat="1" customHeight="1" ht="18.75" hidden="1">
      <c r="A67" s="1787"/>
      <c r="B67" s="1787"/>
      <c r="C67" s="377" t="s">
        <v>1351</v>
      </c>
      <c r="D67" s="2483"/>
      <c r="E67" s="2225"/>
      <c r="F67" s="2404"/>
      <c r="G67" s="2448"/>
      <c r="H67" s="1508"/>
      <c r="I67" s="659" t="s">
        <v>1352</v>
      </c>
      <c r="J67" s="579"/>
      <c r="K67" s="1508"/>
      <c r="L67" s="222"/>
      <c r="M67" s="2191"/>
      <c r="N67" s="342"/>
      <c r="O67" s="1632"/>
      <c r="P67" s="1632"/>
      <c r="AH67" s="1639">
        <v>0</v>
      </c>
    </row>
    <row s="1643" customFormat="1" customHeight="1" ht="0.75" hidden="1">
      <c r="A68" s="1787"/>
      <c r="B68" s="1787"/>
      <c r="C68" s="377" t="s">
        <v>1357</v>
      </c>
      <c r="D68" s="2483"/>
      <c r="E68" s="2225"/>
      <c r="F68" s="2404"/>
      <c r="G68" s="408"/>
      <c r="H68" s="1508"/>
      <c r="I68" s="659"/>
      <c r="J68" s="579"/>
      <c r="K68" s="1508"/>
      <c r="L68" s="222"/>
      <c r="M68" s="2191"/>
      <c r="N68" s="342"/>
      <c r="O68" s="1632"/>
      <c r="P68" s="1632"/>
      <c r="AH68" s="1639">
        <v>0</v>
      </c>
    </row>
    <row s="1643" customFormat="1" customHeight="1" ht="18.75" hidden="1">
      <c r="A69" s="1787" t="s">
        <v>272</v>
      </c>
      <c r="B69" s="1787" t="s">
        <v>273</v>
      </c>
      <c r="C69" s="377"/>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7"/>
      <c r="I69" s="1746"/>
      <c r="J69" s="1780"/>
      <c r="K69" s="1870"/>
      <c r="L69" s="1867" t="s">
        <v>323</v>
      </c>
      <c r="M69" s="2191"/>
      <c r="N69" s="342"/>
      <c r="O69" s="1632"/>
      <c r="P69" s="1632"/>
      <c r="AH69" s="1639">
        <v>0</v>
      </c>
    </row>
    <row s="1643" customFormat="1" customHeight="1" ht="18.75" hidden="1">
      <c r="A70" s="1787"/>
      <c r="B70" s="1787"/>
      <c r="C70" s="377" t="s">
        <v>1351</v>
      </c>
      <c r="D70" s="2483"/>
      <c r="E70" s="2225"/>
      <c r="F70" s="2404"/>
      <c r="G70" s="2448"/>
      <c r="H70" s="1508"/>
      <c r="I70" s="659" t="s">
        <v>1352</v>
      </c>
      <c r="J70" s="579"/>
      <c r="K70" s="1508"/>
      <c r="L70" s="222"/>
      <c r="M70" s="2191"/>
      <c r="N70" s="342"/>
      <c r="O70" s="1632"/>
      <c r="P70" s="1632"/>
      <c r="AH70" s="1639">
        <v>0</v>
      </c>
    </row>
    <row s="1643" customFormat="1" customHeight="1" ht="0.75" hidden="1">
      <c r="A71" s="1787"/>
      <c r="B71" s="1787"/>
      <c r="C71" s="377" t="s">
        <v>1357</v>
      </c>
      <c r="D71" s="2483"/>
      <c r="E71" s="2225"/>
      <c r="F71" s="2404"/>
      <c r="G71" s="408"/>
      <c r="H71" s="1508"/>
      <c r="I71" s="659"/>
      <c r="J71" s="579"/>
      <c r="K71" s="1508"/>
      <c r="L71" s="222"/>
      <c r="M71" s="2191"/>
      <c r="N71" s="342"/>
      <c r="O71" s="1632"/>
      <c r="P71" s="1632"/>
      <c r="AH71" s="1639">
        <v>0</v>
      </c>
    </row>
    <row s="1643" customFormat="1" customHeight="1" ht="18.75" hidden="1">
      <c r="A72" s="1787" t="s">
        <v>277</v>
      </c>
      <c r="B72" s="1787" t="s">
        <v>278</v>
      </c>
      <c r="C72" s="377"/>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7"/>
      <c r="I72" s="1746"/>
      <c r="J72" s="1780"/>
      <c r="K72" s="1870"/>
      <c r="L72" s="1867" t="s">
        <v>323</v>
      </c>
      <c r="M72" s="2191"/>
      <c r="N72" s="342"/>
      <c r="O72" s="1632"/>
      <c r="P72" s="1632"/>
      <c r="AH72" s="1639">
        <v>0</v>
      </c>
    </row>
    <row s="1643" customFormat="1" customHeight="1" ht="18.75" hidden="1">
      <c r="A73" s="1787"/>
      <c r="B73" s="1787"/>
      <c r="C73" s="377" t="s">
        <v>1351</v>
      </c>
      <c r="D73" s="2483"/>
      <c r="E73" s="2225"/>
      <c r="F73" s="2404"/>
      <c r="G73" s="2448"/>
      <c r="H73" s="1508"/>
      <c r="I73" s="659" t="s">
        <v>1352</v>
      </c>
      <c r="J73" s="579"/>
      <c r="K73" s="1508"/>
      <c r="L73" s="222"/>
      <c r="M73" s="2191"/>
      <c r="N73" s="342"/>
      <c r="O73" s="1632"/>
      <c r="P73" s="1632"/>
      <c r="AH73" s="1639">
        <v>0</v>
      </c>
    </row>
    <row s="1643" customFormat="1" customHeight="1" ht="0.75" hidden="1">
      <c r="A74" s="1787"/>
      <c r="B74" s="1787"/>
      <c r="C74" s="377" t="s">
        <v>1357</v>
      </c>
      <c r="D74" s="2483"/>
      <c r="E74" s="2225"/>
      <c r="F74" s="2404"/>
      <c r="G74" s="408"/>
      <c r="H74" s="1508"/>
      <c r="I74" s="659"/>
      <c r="J74" s="579"/>
      <c r="K74" s="1508"/>
      <c r="L74" s="222"/>
      <c r="M74" s="2191"/>
      <c r="N74" s="342"/>
      <c r="O74" s="1632"/>
      <c r="P74" s="1632"/>
      <c r="AH74" s="1639">
        <v>0</v>
      </c>
    </row>
    <row s="1643" customFormat="1" customHeight="1" ht="18.75" hidden="1">
      <c r="A75" s="1787" t="s">
        <v>282</v>
      </c>
      <c r="B75" s="1787" t="s">
        <v>283</v>
      </c>
      <c r="C75" s="377"/>
      <c r="D75" s="2483"/>
      <c r="E75" s="2225"/>
      <c r="F75" s="2404" t="str">
        <f>INDEX(PT_DIFFERENTIATION_VTAR,MATCH(A75,PT_DIFFERENTIATION_VTAR_ID,0))</f>
        <v>Тариф на водоотведение</v>
      </c>
      <c r="G75" s="2448" t="str">
        <f>INDEX(PT_DIFFERENTIATION_NTAR,MATCH(B75,PT_DIFFERENTIATION_NTAR_ID,0))</f>
        <v/>
      </c>
      <c r="H75" s="1867"/>
      <c r="I75" s="1746"/>
      <c r="J75" s="1780"/>
      <c r="K75" s="1870"/>
      <c r="L75" s="1867" t="s">
        <v>323</v>
      </c>
      <c r="M75" s="2191"/>
      <c r="N75" s="342"/>
      <c r="O75" s="1632"/>
      <c r="P75" s="1632"/>
      <c r="AH75" s="1639">
        <v>0</v>
      </c>
    </row>
    <row s="1643" customFormat="1" customHeight="1" ht="18.75" hidden="1">
      <c r="A76" s="1787"/>
      <c r="B76" s="1787"/>
      <c r="C76" s="377" t="s">
        <v>1351</v>
      </c>
      <c r="D76" s="2483"/>
      <c r="E76" s="2225"/>
      <c r="F76" s="2404"/>
      <c r="G76" s="2448"/>
      <c r="H76" s="1508"/>
      <c r="I76" s="659" t="s">
        <v>1352</v>
      </c>
      <c r="J76" s="579"/>
      <c r="K76" s="1508"/>
      <c r="L76" s="222"/>
      <c r="M76" s="2191"/>
      <c r="N76" s="342"/>
      <c r="O76" s="1632"/>
      <c r="P76" s="1632"/>
      <c r="AH76" s="1639">
        <v>0</v>
      </c>
    </row>
    <row s="1643" customFormat="1" customHeight="1" ht="0.75" hidden="1">
      <c r="A77" s="1787"/>
      <c r="B77" s="1787"/>
      <c r="C77" s="377" t="s">
        <v>1357</v>
      </c>
      <c r="D77" s="2483"/>
      <c r="E77" s="2225"/>
      <c r="F77" s="2404"/>
      <c r="G77" s="408"/>
      <c r="H77" s="1508"/>
      <c r="I77" s="659"/>
      <c r="J77" s="579"/>
      <c r="K77" s="1508"/>
      <c r="L77" s="222"/>
      <c r="M77" s="2191"/>
      <c r="N77" s="342"/>
      <c r="O77" s="1632"/>
      <c r="P77" s="1632"/>
      <c r="AH77" s="1639">
        <v>0</v>
      </c>
    </row>
    <row s="1643" customFormat="1" customHeight="1" ht="18.75" hidden="1">
      <c r="A78" s="1787" t="s">
        <v>287</v>
      </c>
      <c r="B78" s="1787" t="s">
        <v>288</v>
      </c>
      <c r="C78" s="377"/>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7"/>
      <c r="I78" s="1746"/>
      <c r="J78" s="1780"/>
      <c r="K78" s="1870"/>
      <c r="L78" s="1867" t="s">
        <v>323</v>
      </c>
      <c r="M78" s="2191"/>
      <c r="N78" s="342"/>
      <c r="O78" s="1632"/>
      <c r="P78" s="1632"/>
      <c r="AH78" s="1639">
        <v>0</v>
      </c>
    </row>
    <row s="1643" customFormat="1" customHeight="1" ht="18.75" hidden="1">
      <c r="A79" s="1787"/>
      <c r="B79" s="1787"/>
      <c r="C79" s="377" t="s">
        <v>1351</v>
      </c>
      <c r="D79" s="2483"/>
      <c r="E79" s="2225"/>
      <c r="F79" s="2404"/>
      <c r="G79" s="2448"/>
      <c r="H79" s="1508"/>
      <c r="I79" s="659" t="s">
        <v>1352</v>
      </c>
      <c r="J79" s="579"/>
      <c r="K79" s="1508"/>
      <c r="L79" s="222"/>
      <c r="M79" s="2191"/>
      <c r="N79" s="342"/>
      <c r="O79" s="1632"/>
      <c r="P79" s="1632"/>
      <c r="AH79" s="1639">
        <v>0</v>
      </c>
    </row>
    <row s="1643" customFormat="1" customHeight="1" ht="0.75" hidden="1">
      <c r="A80" s="1787"/>
      <c r="B80" s="1787"/>
      <c r="C80" s="377" t="s">
        <v>1357</v>
      </c>
      <c r="D80" s="2483"/>
      <c r="E80" s="2225"/>
      <c r="F80" s="2404"/>
      <c r="G80" s="408"/>
      <c r="H80" s="1508"/>
      <c r="I80" s="659"/>
      <c r="J80" s="579"/>
      <c r="K80" s="1508"/>
      <c r="L80" s="222"/>
      <c r="M80" s="2191"/>
      <c r="N80" s="342"/>
      <c r="O80" s="1632"/>
      <c r="P80" s="1632"/>
      <c r="AH80" s="1639">
        <v>0</v>
      </c>
    </row>
    <row s="1643" customFormat="1" customHeight="1" ht="18.75" hidden="1">
      <c r="A81" s="1787" t="s">
        <v>292</v>
      </c>
      <c r="B81" s="1787" t="s">
        <v>293</v>
      </c>
      <c r="C81" s="377"/>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7"/>
      <c r="I81" s="1746"/>
      <c r="J81" s="1780"/>
      <c r="K81" s="1870"/>
      <c r="L81" s="1867" t="s">
        <v>323</v>
      </c>
      <c r="M81" s="2191"/>
      <c r="N81" s="342"/>
      <c r="O81" s="1632"/>
      <c r="P81" s="1632"/>
      <c r="AH81" s="1639">
        <v>0</v>
      </c>
    </row>
    <row s="1643" customFormat="1" customHeight="1" ht="18.75" hidden="1">
      <c r="A82" s="1787"/>
      <c r="B82" s="1787"/>
      <c r="C82" s="377" t="s">
        <v>1351</v>
      </c>
      <c r="D82" s="2483"/>
      <c r="E82" s="2225"/>
      <c r="F82" s="2404"/>
      <c r="G82" s="2448"/>
      <c r="H82" s="1508"/>
      <c r="I82" s="659" t="s">
        <v>1352</v>
      </c>
      <c r="J82" s="579"/>
      <c r="K82" s="1508"/>
      <c r="L82" s="222"/>
      <c r="M82" s="2191"/>
      <c r="N82" s="342"/>
      <c r="O82" s="1632"/>
      <c r="P82" s="1632"/>
      <c r="AH82" s="1639">
        <v>0</v>
      </c>
    </row>
    <row s="1643" customFormat="1" customHeight="1" ht="1.05">
      <c r="A83" s="1787"/>
      <c r="B83" s="1787"/>
      <c r="C83" s="377" t="s">
        <v>1357</v>
      </c>
      <c r="D83" s="2483"/>
      <c r="E83" s="2225"/>
      <c r="F83" s="2404"/>
      <c r="G83" s="408"/>
      <c r="H83" s="1508"/>
      <c r="I83" s="659"/>
      <c r="J83" s="579"/>
      <c r="K83" s="1508"/>
      <c r="L83" s="222"/>
      <c r="M83" s="2191"/>
      <c r="N83" s="342"/>
      <c r="O83" s="1632"/>
      <c r="P83" s="1632"/>
      <c r="AH83" s="1639">
        <v>1</v>
      </c>
    </row>
    <row customHeight="1" ht="19.95">
      <c r="A84" s="1787"/>
      <c r="B84" s="1787"/>
      <c r="D84" s="384"/>
      <c r="E84" s="155" t="s">
        <v>102</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1"/>
      <c r="H84" s="2481"/>
      <c r="I84" s="2481"/>
      <c r="J84" s="2481"/>
      <c r="K84" s="2481"/>
      <c r="L84" s="2481"/>
      <c r="M84" s="305"/>
      <c r="N84" s="342"/>
      <c r="AH84" s="382">
        <v>19</v>
      </c>
    </row>
    <row customHeight="1" ht="35.699999999999996">
      <c r="A85" s="1787"/>
      <c r="B85" s="1787"/>
      <c r="D85" s="384"/>
      <c r="E85" s="407"/>
      <c r="F85" s="206" t="s">
        <v>323</v>
      </c>
      <c r="G85" s="206" t="s">
        <v>323</v>
      </c>
      <c r="H85" s="2239" t="s">
        <v>323</v>
      </c>
      <c r="I85" s="2241"/>
      <c r="J85" s="206" t="s">
        <v>323</v>
      </c>
      <c r="K85" s="206" t="s">
        <v>323</v>
      </c>
      <c r="L85" s="409"/>
      <c r="M85" s="353" t="s">
        <v>1358</v>
      </c>
      <c r="N85" s="342"/>
      <c r="AH85" s="382">
        <v>34</v>
      </c>
    </row>
    <row customHeight="1" ht="19.95">
      <c r="A86" s="1787"/>
      <c r="B86" s="1787"/>
      <c r="D86" s="384"/>
      <c r="E86" s="155" t="s">
        <v>90</v>
      </c>
      <c r="F86" s="2481" t="s">
        <v>1359</v>
      </c>
      <c r="G86" s="2481"/>
      <c r="H86" s="2481"/>
      <c r="I86" s="2481"/>
      <c r="J86" s="2481"/>
      <c r="K86" s="2481"/>
      <c r="L86" s="2481"/>
      <c r="M86" s="305"/>
      <c r="N86" s="342"/>
      <c r="AH86" s="382">
        <v>19</v>
      </c>
    </row>
    <row s="1643" customFormat="1" customHeight="1" ht="60.75" hidden="1">
      <c r="A87" s="1787" t="s">
        <v>174</v>
      </c>
      <c r="B87" s="1787" t="s">
        <v>175</v>
      </c>
      <c r="C87" s="377"/>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7"/>
      <c r="I87" s="1746"/>
      <c r="J87" s="1780"/>
      <c r="K87" s="1785"/>
      <c r="L87" s="1867" t="s">
        <v>323</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7"/>
      <c r="B88" s="1787"/>
      <c r="C88" s="377" t="s">
        <v>1353</v>
      </c>
      <c r="D88" s="2483"/>
      <c r="E88" s="2225"/>
      <c r="F88" s="2404"/>
      <c r="G88" s="2448"/>
      <c r="H88" s="1508"/>
      <c r="I88" s="659" t="s">
        <v>1352</v>
      </c>
      <c r="J88" s="579"/>
      <c r="K88" s="1508"/>
      <c r="L88" s="222"/>
      <c r="M88" s="2191"/>
      <c r="N88" s="342"/>
      <c r="O88" s="1632"/>
      <c r="P88" s="1632"/>
      <c r="AH88" s="1639">
        <v>0</v>
      </c>
    </row>
    <row s="1643" customFormat="1" customHeight="1" ht="0.75" hidden="1">
      <c r="A89" s="1787"/>
      <c r="B89" s="1787"/>
      <c r="C89" s="377" t="s">
        <v>1360</v>
      </c>
      <c r="D89" s="2483"/>
      <c r="E89" s="2225"/>
      <c r="F89" s="2404"/>
      <c r="G89" s="408"/>
      <c r="H89" s="1508"/>
      <c r="I89" s="659"/>
      <c r="J89" s="579"/>
      <c r="K89" s="1508"/>
      <c r="L89" s="222"/>
      <c r="M89" s="2191"/>
      <c r="N89" s="342"/>
      <c r="O89" s="1632"/>
      <c r="P89" s="1632"/>
      <c r="AH89" s="1639">
        <v>0</v>
      </c>
    </row>
    <row s="1643" customFormat="1" customHeight="1" ht="45" hidden="1">
      <c r="A90" s="1787" t="s">
        <v>179</v>
      </c>
      <c r="B90" s="1787" t="s">
        <v>180</v>
      </c>
      <c r="C90" s="377"/>
      <c r="D90" s="2483"/>
      <c r="E90" s="2225"/>
      <c r="F90" s="2404" t="str">
        <f>INDEX(PT_DIFFERENTIATION_VTAR,MATCH(A90,PT_DIFFERENTIATION_VTAR_ID,0))</f>
        <v/>
      </c>
      <c r="G90" s="2448" t="str">
        <f>INDEX(PT_DIFFERENTIATION_NTAR,MATCH(B90,PT_DIFFERENTIATION_NTAR_ID,0))</f>
        <v/>
      </c>
      <c r="H90" s="1867"/>
      <c r="I90" s="1746"/>
      <c r="J90" s="1780"/>
      <c r="K90" s="1785"/>
      <c r="L90" s="1867" t="s">
        <v>323</v>
      </c>
      <c r="M90" s="2192"/>
      <c r="N90" s="342"/>
      <c r="O90" s="1632"/>
      <c r="P90" s="1632"/>
      <c r="AH90" s="1639">
        <v>0</v>
      </c>
    </row>
    <row s="1643" customFormat="1" customHeight="1" ht="18.75" hidden="1">
      <c r="A91" s="1787"/>
      <c r="B91" s="1787"/>
      <c r="C91" s="377" t="s">
        <v>1353</v>
      </c>
      <c r="D91" s="2483"/>
      <c r="E91" s="2225"/>
      <c r="F91" s="2404"/>
      <c r="G91" s="2448"/>
      <c r="H91" s="1508"/>
      <c r="I91" s="659" t="s">
        <v>1352</v>
      </c>
      <c r="J91" s="579"/>
      <c r="K91" s="1508"/>
      <c r="L91" s="222"/>
      <c r="M91" s="1866"/>
      <c r="N91" s="342"/>
      <c r="O91" s="1632"/>
      <c r="P91" s="1632"/>
      <c r="AH91" s="1639">
        <v>0</v>
      </c>
    </row>
    <row s="1643" customFormat="1" customHeight="1" ht="0.75" hidden="1">
      <c r="A92" s="1787"/>
      <c r="B92" s="1787"/>
      <c r="C92" s="377" t="s">
        <v>1360</v>
      </c>
      <c r="D92" s="2483"/>
      <c r="E92" s="2225"/>
      <c r="F92" s="2404"/>
      <c r="G92" s="408"/>
      <c r="H92" s="1508"/>
      <c r="I92" s="659"/>
      <c r="J92" s="579"/>
      <c r="K92" s="1508"/>
      <c r="L92" s="222"/>
      <c r="M92" s="349"/>
      <c r="N92" s="342"/>
      <c r="O92" s="1632"/>
      <c r="P92" s="1632"/>
      <c r="AH92" s="1639">
        <v>0</v>
      </c>
    </row>
    <row s="1643" customFormat="1" customHeight="1" ht="45" hidden="1">
      <c r="A93" s="1787" t="s">
        <v>186</v>
      </c>
      <c r="B93" s="1787" t="s">
        <v>187</v>
      </c>
      <c r="C93" s="377"/>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7"/>
      <c r="I93" s="1746"/>
      <c r="J93" s="1780"/>
      <c r="K93" s="1785"/>
      <c r="L93" s="1867" t="s">
        <v>323</v>
      </c>
      <c r="M93" s="349"/>
      <c r="N93" s="342"/>
      <c r="O93" s="1632"/>
      <c r="P93" s="1632"/>
      <c r="AH93" s="1639">
        <v>0</v>
      </c>
    </row>
    <row s="1643" customFormat="1" customHeight="1" ht="18.75" hidden="1">
      <c r="A94" s="1787"/>
      <c r="B94" s="1787"/>
      <c r="C94" s="377" t="s">
        <v>1353</v>
      </c>
      <c r="D94" s="2483"/>
      <c r="E94" s="2225"/>
      <c r="F94" s="2404"/>
      <c r="G94" s="2448"/>
      <c r="H94" s="1508"/>
      <c r="I94" s="659" t="s">
        <v>1352</v>
      </c>
      <c r="J94" s="579"/>
      <c r="K94" s="1508"/>
      <c r="L94" s="222"/>
      <c r="M94" s="349"/>
      <c r="N94" s="342"/>
      <c r="O94" s="1632"/>
      <c r="P94" s="1632"/>
      <c r="AH94" s="1639">
        <v>0</v>
      </c>
    </row>
    <row s="1643" customFormat="1" customHeight="1" ht="0.75" hidden="1">
      <c r="A95" s="1787"/>
      <c r="B95" s="1787"/>
      <c r="C95" s="377" t="s">
        <v>1360</v>
      </c>
      <c r="D95" s="2483"/>
      <c r="E95" s="2225"/>
      <c r="F95" s="2404"/>
      <c r="G95" s="408"/>
      <c r="H95" s="1508"/>
      <c r="I95" s="659"/>
      <c r="J95" s="579"/>
      <c r="K95" s="1508"/>
      <c r="L95" s="222"/>
      <c r="M95" s="349"/>
      <c r="N95" s="342"/>
      <c r="O95" s="1632"/>
      <c r="P95" s="1632"/>
      <c r="AH95" s="1639">
        <v>0</v>
      </c>
    </row>
    <row s="1643" customFormat="1" customHeight="1" ht="45" hidden="1">
      <c r="A96" s="1787" t="s">
        <v>192</v>
      </c>
      <c r="B96" s="1787" t="s">
        <v>193</v>
      </c>
      <c r="C96" s="377"/>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7"/>
      <c r="I96" s="1746"/>
      <c r="J96" s="1780"/>
      <c r="K96" s="1785"/>
      <c r="L96" s="1867" t="s">
        <v>323</v>
      </c>
      <c r="M96" s="349"/>
      <c r="N96" s="342"/>
      <c r="O96" s="1632"/>
      <c r="P96" s="1632"/>
      <c r="AH96" s="1639">
        <v>0</v>
      </c>
    </row>
    <row s="1643" customFormat="1" customHeight="1" ht="18.75" hidden="1">
      <c r="A97" s="1787"/>
      <c r="B97" s="1787"/>
      <c r="C97" s="377" t="s">
        <v>1353</v>
      </c>
      <c r="D97" s="2483"/>
      <c r="E97" s="2225"/>
      <c r="F97" s="2404"/>
      <c r="G97" s="2448"/>
      <c r="H97" s="1508"/>
      <c r="I97" s="659" t="s">
        <v>1352</v>
      </c>
      <c r="J97" s="579"/>
      <c r="K97" s="1508"/>
      <c r="L97" s="222"/>
      <c r="M97" s="349"/>
      <c r="N97" s="342"/>
      <c r="O97" s="1632"/>
      <c r="P97" s="1632"/>
      <c r="AH97" s="1639">
        <v>0</v>
      </c>
    </row>
    <row s="1643" customFormat="1" customHeight="1" ht="0.75" hidden="1">
      <c r="A98" s="1787"/>
      <c r="B98" s="1787"/>
      <c r="C98" s="377" t="s">
        <v>1360</v>
      </c>
      <c r="D98" s="2483"/>
      <c r="E98" s="2225"/>
      <c r="F98" s="2404"/>
      <c r="G98" s="408"/>
      <c r="H98" s="1508"/>
      <c r="I98" s="659"/>
      <c r="J98" s="579"/>
      <c r="K98" s="1508"/>
      <c r="L98" s="222"/>
      <c r="M98" s="349"/>
      <c r="N98" s="342"/>
      <c r="O98" s="1632"/>
      <c r="P98" s="1632"/>
      <c r="AH98" s="1639">
        <v>0</v>
      </c>
    </row>
    <row s="1643" customFormat="1" customHeight="1" ht="18.75" hidden="1">
      <c r="A99" s="1787" t="s">
        <v>198</v>
      </c>
      <c r="B99" s="1787" t="s">
        <v>199</v>
      </c>
      <c r="C99" s="377"/>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7"/>
      <c r="I99" s="1746"/>
      <c r="J99" s="1780"/>
      <c r="K99" s="1785"/>
      <c r="L99" s="1867" t="s">
        <v>323</v>
      </c>
      <c r="M99" s="349"/>
      <c r="N99" s="342"/>
      <c r="O99" s="1632"/>
      <c r="P99" s="1632"/>
      <c r="AH99" s="1639">
        <v>0</v>
      </c>
    </row>
    <row s="1643" customFormat="1" customHeight="1" ht="18.75" hidden="1">
      <c r="A100" s="1787"/>
      <c r="B100" s="1787"/>
      <c r="C100" s="377" t="s">
        <v>1353</v>
      </c>
      <c r="D100" s="2483"/>
      <c r="E100" s="2225"/>
      <c r="F100" s="2404"/>
      <c r="G100" s="2448"/>
      <c r="H100" s="1508"/>
      <c r="I100" s="659" t="s">
        <v>1352</v>
      </c>
      <c r="J100" s="579"/>
      <c r="K100" s="1508"/>
      <c r="L100" s="222"/>
      <c r="M100" s="349"/>
      <c r="N100" s="342"/>
      <c r="O100" s="1632"/>
      <c r="P100" s="1632"/>
      <c r="AH100" s="1639">
        <v>0</v>
      </c>
    </row>
    <row s="1643" customFormat="1" customHeight="1" ht="0.75" hidden="1">
      <c r="A101" s="1787"/>
      <c r="B101" s="1787"/>
      <c r="C101" s="377" t="s">
        <v>1360</v>
      </c>
      <c r="D101" s="2483"/>
      <c r="E101" s="2225"/>
      <c r="F101" s="2404"/>
      <c r="G101" s="408"/>
      <c r="H101" s="1508"/>
      <c r="I101" s="659"/>
      <c r="J101" s="579"/>
      <c r="K101" s="1508"/>
      <c r="L101" s="222"/>
      <c r="M101" s="349"/>
      <c r="N101" s="342"/>
      <c r="O101" s="1632"/>
      <c r="P101" s="1632"/>
      <c r="AH101" s="1639">
        <v>0</v>
      </c>
    </row>
    <row s="1643" customFormat="1" customHeight="1" ht="18.75" hidden="1">
      <c r="A102" s="1787" t="s">
        <v>204</v>
      </c>
      <c r="B102" s="1787" t="s">
        <v>205</v>
      </c>
      <c r="C102" s="377"/>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7"/>
      <c r="I102" s="1746"/>
      <c r="J102" s="1780"/>
      <c r="K102" s="1785"/>
      <c r="L102" s="1867" t="s">
        <v>323</v>
      </c>
      <c r="M102" s="349"/>
      <c r="N102" s="342"/>
      <c r="O102" s="1632"/>
      <c r="P102" s="1632"/>
      <c r="AH102" s="1639">
        <v>0</v>
      </c>
    </row>
    <row s="1643" customFormat="1" customHeight="1" ht="18.75" hidden="1">
      <c r="A103" s="1787"/>
      <c r="B103" s="1787"/>
      <c r="C103" s="377" t="s">
        <v>1353</v>
      </c>
      <c r="D103" s="2483"/>
      <c r="E103" s="2225"/>
      <c r="F103" s="2404"/>
      <c r="G103" s="2448"/>
      <c r="H103" s="1508"/>
      <c r="I103" s="659" t="s">
        <v>1352</v>
      </c>
      <c r="J103" s="579"/>
      <c r="K103" s="1508"/>
      <c r="L103" s="222"/>
      <c r="M103" s="349"/>
      <c r="N103" s="342"/>
      <c r="O103" s="1632"/>
      <c r="P103" s="1632"/>
      <c r="AH103" s="1639">
        <v>0</v>
      </c>
    </row>
    <row s="1643" customFormat="1" customHeight="1" ht="0.75" hidden="1">
      <c r="A104" s="1787"/>
      <c r="B104" s="1787"/>
      <c r="C104" s="377" t="s">
        <v>1360</v>
      </c>
      <c r="D104" s="2483"/>
      <c r="E104" s="2225"/>
      <c r="F104" s="2404"/>
      <c r="G104" s="408"/>
      <c r="H104" s="1508"/>
      <c r="I104" s="659"/>
      <c r="J104" s="579"/>
      <c r="K104" s="1508"/>
      <c r="L104" s="222"/>
      <c r="M104" s="349"/>
      <c r="N104" s="342"/>
      <c r="O104" s="1632"/>
      <c r="P104" s="1632"/>
      <c r="AH104" s="1639">
        <v>0</v>
      </c>
    </row>
    <row s="1643" customFormat="1" customHeight="1" ht="18.75" hidden="1">
      <c r="A105" s="1787" t="s">
        <v>210</v>
      </c>
      <c r="B105" s="1787" t="s">
        <v>211</v>
      </c>
      <c r="C105" s="377"/>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7"/>
      <c r="I105" s="1746"/>
      <c r="J105" s="1780"/>
      <c r="K105" s="1785"/>
      <c r="L105" s="1867" t="s">
        <v>323</v>
      </c>
      <c r="M105" s="349"/>
      <c r="N105" s="342"/>
      <c r="O105" s="1632"/>
      <c r="P105" s="1632"/>
      <c r="AH105" s="1639">
        <v>0</v>
      </c>
    </row>
    <row s="1643" customFormat="1" customHeight="1" ht="18.75" hidden="1">
      <c r="A106" s="1787"/>
      <c r="B106" s="1787"/>
      <c r="C106" s="377" t="s">
        <v>1353</v>
      </c>
      <c r="D106" s="2483"/>
      <c r="E106" s="2225"/>
      <c r="F106" s="2404"/>
      <c r="G106" s="2448"/>
      <c r="H106" s="1508"/>
      <c r="I106" s="659" t="s">
        <v>1352</v>
      </c>
      <c r="J106" s="579"/>
      <c r="K106" s="1508"/>
      <c r="L106" s="222"/>
      <c r="M106" s="349"/>
      <c r="N106" s="342"/>
      <c r="O106" s="1632"/>
      <c r="P106" s="1632"/>
      <c r="AH106" s="1639">
        <v>0</v>
      </c>
    </row>
    <row s="1643" customFormat="1" customHeight="1" ht="0.75" hidden="1">
      <c r="A107" s="1787"/>
      <c r="B107" s="1787"/>
      <c r="C107" s="377" t="s">
        <v>1360</v>
      </c>
      <c r="D107" s="2483"/>
      <c r="E107" s="2225"/>
      <c r="F107" s="2404"/>
      <c r="G107" s="408"/>
      <c r="H107" s="1508"/>
      <c r="I107" s="659"/>
      <c r="J107" s="579"/>
      <c r="K107" s="1508"/>
      <c r="L107" s="222"/>
      <c r="M107" s="349"/>
      <c r="N107" s="342"/>
      <c r="O107" s="1632"/>
      <c r="P107" s="1632"/>
      <c r="AH107" s="1639">
        <v>0</v>
      </c>
    </row>
    <row s="1643" customFormat="1" customHeight="1" ht="18.75" hidden="1">
      <c r="A108" s="1787" t="s">
        <v>216</v>
      </c>
      <c r="B108" s="1787" t="s">
        <v>217</v>
      </c>
      <c r="C108" s="377"/>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7"/>
      <c r="I108" s="1746"/>
      <c r="J108" s="1780"/>
      <c r="K108" s="1785"/>
      <c r="L108" s="1867" t="s">
        <v>323</v>
      </c>
      <c r="M108" s="349"/>
      <c r="N108" s="342"/>
      <c r="O108" s="1632"/>
      <c r="P108" s="1632"/>
      <c r="AH108" s="1639">
        <v>0</v>
      </c>
    </row>
    <row s="1643" customFormat="1" customHeight="1" ht="18.75" hidden="1">
      <c r="A109" s="1787"/>
      <c r="B109" s="1787"/>
      <c r="C109" s="377" t="s">
        <v>1353</v>
      </c>
      <c r="D109" s="2483"/>
      <c r="E109" s="2225"/>
      <c r="F109" s="2404"/>
      <c r="G109" s="2448"/>
      <c r="H109" s="1508"/>
      <c r="I109" s="659" t="s">
        <v>1352</v>
      </c>
      <c r="J109" s="579"/>
      <c r="K109" s="1508"/>
      <c r="L109" s="222"/>
      <c r="M109" s="349"/>
      <c r="N109" s="342"/>
      <c r="O109" s="1632"/>
      <c r="P109" s="1632"/>
      <c r="AH109" s="1639">
        <v>0</v>
      </c>
    </row>
    <row s="1643" customFormat="1" customHeight="1" ht="0.75" hidden="1">
      <c r="A110" s="1787"/>
      <c r="B110" s="1787"/>
      <c r="C110" s="377" t="s">
        <v>1360</v>
      </c>
      <c r="D110" s="2483"/>
      <c r="E110" s="2225"/>
      <c r="F110" s="2404"/>
      <c r="G110" s="408"/>
      <c r="H110" s="1508"/>
      <c r="I110" s="659"/>
      <c r="J110" s="579"/>
      <c r="K110" s="1508"/>
      <c r="L110" s="222"/>
      <c r="M110" s="349"/>
      <c r="N110" s="342"/>
      <c r="O110" s="1632"/>
      <c r="P110" s="1632"/>
      <c r="AH110" s="1639">
        <v>0</v>
      </c>
    </row>
    <row s="1643" customFormat="1" customHeight="1" ht="18.75" hidden="1">
      <c r="A111" s="1787" t="s">
        <v>222</v>
      </c>
      <c r="B111" s="1787" t="s">
        <v>223</v>
      </c>
      <c r="C111" s="377"/>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94"/>
      <c r="I111" s="1746"/>
      <c r="J111" s="1780"/>
      <c r="K111" s="1785"/>
      <c r="L111" s="1994" t="s">
        <v>323</v>
      </c>
      <c r="M111" s="349"/>
      <c r="N111" s="342"/>
      <c r="O111" s="1632"/>
      <c r="P111" s="1632"/>
      <c r="AH111" s="1639">
        <v>0</v>
      </c>
    </row>
    <row s="1643" customFormat="1" customHeight="1" ht="18.75" hidden="1">
      <c r="A112" s="1787"/>
      <c r="B112" s="1787"/>
      <c r="C112" s="377" t="s">
        <v>1353</v>
      </c>
      <c r="D112" s="2483"/>
      <c r="E112" s="2225"/>
      <c r="F112" s="2404"/>
      <c r="G112" s="2448"/>
      <c r="H112" s="1508"/>
      <c r="I112" s="659" t="s">
        <v>1352</v>
      </c>
      <c r="J112" s="579"/>
      <c r="K112" s="1508"/>
      <c r="L112" s="222"/>
      <c r="M112" s="349"/>
      <c r="N112" s="342"/>
      <c r="O112" s="1632"/>
      <c r="P112" s="1632"/>
      <c r="AH112" s="1639">
        <v>0</v>
      </c>
    </row>
    <row s="1643" customFormat="1" customHeight="1" ht="0.75" hidden="1">
      <c r="A113" s="1787"/>
      <c r="B113" s="1787"/>
      <c r="C113" s="377" t="s">
        <v>1360</v>
      </c>
      <c r="D113" s="2483"/>
      <c r="E113" s="2225"/>
      <c r="F113" s="2404"/>
      <c r="G113" s="408"/>
      <c r="H113" s="1508"/>
      <c r="I113" s="659"/>
      <c r="J113" s="579"/>
      <c r="K113" s="1508"/>
      <c r="L113" s="222"/>
      <c r="M113" s="349"/>
      <c r="N113" s="342"/>
      <c r="O113" s="1632"/>
      <c r="P113" s="1632"/>
      <c r="AH113" s="1639">
        <v>0</v>
      </c>
    </row>
    <row s="1643" customFormat="1" customHeight="1" ht="18.75" hidden="1">
      <c r="A114" s="1787" t="s">
        <v>242</v>
      </c>
      <c r="B114" s="1787" t="s">
        <v>243</v>
      </c>
      <c r="C114" s="377"/>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7"/>
      <c r="I114" s="1746"/>
      <c r="J114" s="1780"/>
      <c r="K114" s="1785"/>
      <c r="L114" s="1867" t="s">
        <v>323</v>
      </c>
      <c r="M114" s="349"/>
      <c r="N114" s="342"/>
      <c r="O114" s="1632"/>
      <c r="P114" s="1632"/>
      <c r="AH114" s="1639">
        <v>0</v>
      </c>
    </row>
    <row s="1643" customFormat="1" customHeight="1" ht="18.75" hidden="1">
      <c r="A115" s="1787"/>
      <c r="B115" s="1787"/>
      <c r="C115" s="377" t="s">
        <v>1353</v>
      </c>
      <c r="D115" s="2483"/>
      <c r="E115" s="2225"/>
      <c r="F115" s="2404"/>
      <c r="G115" s="2448"/>
      <c r="H115" s="1508"/>
      <c r="I115" s="659" t="s">
        <v>1352</v>
      </c>
      <c r="J115" s="579"/>
      <c r="K115" s="1508"/>
      <c r="L115" s="222"/>
      <c r="M115" s="349"/>
      <c r="N115" s="342"/>
      <c r="O115" s="1632"/>
      <c r="P115" s="1632"/>
      <c r="AH115" s="1639">
        <v>0</v>
      </c>
    </row>
    <row s="1643" customFormat="1" customHeight="1" ht="0.75" hidden="1">
      <c r="A116" s="1787"/>
      <c r="B116" s="1787"/>
      <c r="C116" s="377" t="s">
        <v>1360</v>
      </c>
      <c r="D116" s="2483"/>
      <c r="E116" s="2225"/>
      <c r="F116" s="2404"/>
      <c r="G116" s="408"/>
      <c r="H116" s="1508"/>
      <c r="I116" s="659"/>
      <c r="J116" s="579"/>
      <c r="K116" s="1508"/>
      <c r="L116" s="222"/>
      <c r="M116" s="349"/>
      <c r="N116" s="342"/>
      <c r="O116" s="1632"/>
      <c r="P116" s="1632"/>
      <c r="AH116" s="1639">
        <v>0</v>
      </c>
    </row>
    <row s="1643" customFormat="1" customHeight="1" ht="18.75" hidden="1">
      <c r="A117" s="1787" t="s">
        <v>247</v>
      </c>
      <c r="B117" s="1787" t="s">
        <v>248</v>
      </c>
      <c r="C117" s="377"/>
      <c r="D117" s="2483"/>
      <c r="E117" s="2225"/>
      <c r="F117" s="2404" t="str">
        <f>INDEX(PT_DIFFERENTIATION_VTAR,MATCH(A117,PT_DIFFERENTIATION_VTAR_ID,0))</f>
        <v>Тариф на техническую воду</v>
      </c>
      <c r="G117" s="2448" t="str">
        <f>INDEX(PT_DIFFERENTIATION_NTAR,MATCH(B117,PT_DIFFERENTIATION_NTAR_ID,0))</f>
        <v/>
      </c>
      <c r="H117" s="1867"/>
      <c r="I117" s="1746"/>
      <c r="J117" s="1780"/>
      <c r="K117" s="1785"/>
      <c r="L117" s="1867" t="s">
        <v>323</v>
      </c>
      <c r="M117" s="349"/>
      <c r="N117" s="342"/>
      <c r="O117" s="1632"/>
      <c r="P117" s="1632"/>
      <c r="AH117" s="1639">
        <v>0</v>
      </c>
    </row>
    <row s="1643" customFormat="1" customHeight="1" ht="18.75" hidden="1">
      <c r="A118" s="1787"/>
      <c r="B118" s="1787"/>
      <c r="C118" s="377" t="s">
        <v>1353</v>
      </c>
      <c r="D118" s="2483"/>
      <c r="E118" s="2225"/>
      <c r="F118" s="2404"/>
      <c r="G118" s="2448"/>
      <c r="H118" s="1508"/>
      <c r="I118" s="659" t="s">
        <v>1352</v>
      </c>
      <c r="J118" s="579"/>
      <c r="K118" s="1508"/>
      <c r="L118" s="222"/>
      <c r="M118" s="349"/>
      <c r="N118" s="342"/>
      <c r="O118" s="1632"/>
      <c r="P118" s="1632"/>
      <c r="AH118" s="1639">
        <v>0</v>
      </c>
    </row>
    <row s="1643" customFormat="1" customHeight="1" ht="0.75" hidden="1">
      <c r="A119" s="1787"/>
      <c r="B119" s="1787"/>
      <c r="C119" s="377" t="s">
        <v>1360</v>
      </c>
      <c r="D119" s="2483"/>
      <c r="E119" s="2225"/>
      <c r="F119" s="2404"/>
      <c r="G119" s="408"/>
      <c r="H119" s="1508"/>
      <c r="I119" s="659"/>
      <c r="J119" s="579"/>
      <c r="K119" s="1508"/>
      <c r="L119" s="222"/>
      <c r="M119" s="349"/>
      <c r="N119" s="342"/>
      <c r="O119" s="1632"/>
      <c r="P119" s="1632"/>
      <c r="AH119" s="1639">
        <v>0</v>
      </c>
    </row>
    <row s="1643" customFormat="1" customHeight="1" ht="18.75" hidden="1">
      <c r="A120" s="1787" t="s">
        <v>252</v>
      </c>
      <c r="B120" s="1787" t="s">
        <v>253</v>
      </c>
      <c r="C120" s="377"/>
      <c r="D120" s="2483"/>
      <c r="E120" s="2225"/>
      <c r="F120" s="2404" t="str">
        <f>INDEX(PT_DIFFERENTIATION_VTAR,MATCH(A120,PT_DIFFERENTIATION_VTAR_ID,0))</f>
        <v>Тариф на транспортировку воды</v>
      </c>
      <c r="G120" s="2448" t="str">
        <f>INDEX(PT_DIFFERENTIATION_NTAR,MATCH(B120,PT_DIFFERENTIATION_NTAR_ID,0))</f>
        <v/>
      </c>
      <c r="H120" s="1867"/>
      <c r="I120" s="1746"/>
      <c r="J120" s="1780"/>
      <c r="K120" s="1785"/>
      <c r="L120" s="1867" t="s">
        <v>323</v>
      </c>
      <c r="M120" s="349"/>
      <c r="N120" s="342"/>
      <c r="O120" s="1632"/>
      <c r="P120" s="1632"/>
      <c r="AH120" s="1639">
        <v>0</v>
      </c>
    </row>
    <row s="1643" customFormat="1" customHeight="1" ht="18.75" hidden="1">
      <c r="A121" s="1787"/>
      <c r="B121" s="1787"/>
      <c r="C121" s="377" t="s">
        <v>1353</v>
      </c>
      <c r="D121" s="2483"/>
      <c r="E121" s="2225"/>
      <c r="F121" s="2404"/>
      <c r="G121" s="2448"/>
      <c r="H121" s="1508"/>
      <c r="I121" s="659" t="s">
        <v>1352</v>
      </c>
      <c r="J121" s="579"/>
      <c r="K121" s="1508"/>
      <c r="L121" s="222"/>
      <c r="M121" s="349"/>
      <c r="N121" s="342"/>
      <c r="O121" s="1632"/>
      <c r="P121" s="1632"/>
      <c r="AH121" s="1639">
        <v>0</v>
      </c>
    </row>
    <row s="1643" customFormat="1" customHeight="1" ht="0.75" hidden="1">
      <c r="A122" s="1787"/>
      <c r="B122" s="1787"/>
      <c r="C122" s="377" t="s">
        <v>1360</v>
      </c>
      <c r="D122" s="2483"/>
      <c r="E122" s="2225"/>
      <c r="F122" s="2404"/>
      <c r="G122" s="408"/>
      <c r="H122" s="1508"/>
      <c r="I122" s="659"/>
      <c r="J122" s="579"/>
      <c r="K122" s="1508"/>
      <c r="L122" s="222"/>
      <c r="M122" s="349"/>
      <c r="N122" s="342"/>
      <c r="O122" s="1632"/>
      <c r="P122" s="1632"/>
      <c r="AH122" s="1639">
        <v>0</v>
      </c>
    </row>
    <row s="1643" customFormat="1" customHeight="1" ht="18.75" hidden="1">
      <c r="A123" s="1787" t="s">
        <v>257</v>
      </c>
      <c r="B123" s="1787" t="s">
        <v>258</v>
      </c>
      <c r="C123" s="377"/>
      <c r="D123" s="2483"/>
      <c r="E123" s="2225"/>
      <c r="F123" s="2404" t="str">
        <f>INDEX(PT_DIFFERENTIATION_VTAR,MATCH(A123,PT_DIFFERENTIATION_VTAR_ID,0))</f>
        <v>Тариф на подвоз воды</v>
      </c>
      <c r="G123" s="2448" t="str">
        <f>INDEX(PT_DIFFERENTIATION_NTAR,MATCH(B123,PT_DIFFERENTIATION_NTAR_ID,0))</f>
        <v/>
      </c>
      <c r="H123" s="1867"/>
      <c r="I123" s="1746"/>
      <c r="J123" s="1780"/>
      <c r="K123" s="1785"/>
      <c r="L123" s="1867" t="s">
        <v>323</v>
      </c>
      <c r="M123" s="349"/>
      <c r="N123" s="342"/>
      <c r="O123" s="1632"/>
      <c r="P123" s="1632"/>
      <c r="AH123" s="1639">
        <v>0</v>
      </c>
    </row>
    <row s="1643" customFormat="1" customHeight="1" ht="18.75" hidden="1">
      <c r="A124" s="1787"/>
      <c r="B124" s="1787"/>
      <c r="C124" s="377" t="s">
        <v>1353</v>
      </c>
      <c r="D124" s="2483"/>
      <c r="E124" s="2225"/>
      <c r="F124" s="2404"/>
      <c r="G124" s="2448"/>
      <c r="H124" s="1508"/>
      <c r="I124" s="659" t="s">
        <v>1352</v>
      </c>
      <c r="J124" s="579"/>
      <c r="K124" s="1508"/>
      <c r="L124" s="222"/>
      <c r="M124" s="349"/>
      <c r="N124" s="342"/>
      <c r="O124" s="1632"/>
      <c r="P124" s="1632"/>
      <c r="AH124" s="1639">
        <v>0</v>
      </c>
    </row>
    <row s="1643" customFormat="1" customHeight="1" ht="0.75" hidden="1">
      <c r="A125" s="1787"/>
      <c r="B125" s="1787"/>
      <c r="C125" s="377" t="s">
        <v>1360</v>
      </c>
      <c r="D125" s="2483"/>
      <c r="E125" s="2225"/>
      <c r="F125" s="2404"/>
      <c r="G125" s="408"/>
      <c r="H125" s="1508"/>
      <c r="I125" s="659"/>
      <c r="J125" s="579"/>
      <c r="K125" s="1508"/>
      <c r="L125" s="222"/>
      <c r="M125" s="349"/>
      <c r="N125" s="342"/>
      <c r="O125" s="1632"/>
      <c r="P125" s="1632"/>
      <c r="AH125" s="1639">
        <v>0</v>
      </c>
    </row>
    <row s="1643" customFormat="1" customHeight="1" ht="18.75" hidden="1">
      <c r="A126" s="1787" t="s">
        <v>262</v>
      </c>
      <c r="B126" s="1787" t="s">
        <v>263</v>
      </c>
      <c r="C126" s="377"/>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7"/>
      <c r="I126" s="1746"/>
      <c r="J126" s="1780"/>
      <c r="K126" s="1785"/>
      <c r="L126" s="1867" t="s">
        <v>323</v>
      </c>
      <c r="M126" s="349"/>
      <c r="N126" s="342"/>
      <c r="O126" s="1632"/>
      <c r="P126" s="1632"/>
      <c r="AH126" s="1639">
        <v>0</v>
      </c>
    </row>
    <row s="1643" customFormat="1" customHeight="1" ht="18.75" hidden="1">
      <c r="A127" s="1787"/>
      <c r="B127" s="1787"/>
      <c r="C127" s="377" t="s">
        <v>1353</v>
      </c>
      <c r="D127" s="2483"/>
      <c r="E127" s="2225"/>
      <c r="F127" s="2404"/>
      <c r="G127" s="2448"/>
      <c r="H127" s="1508"/>
      <c r="I127" s="659" t="s">
        <v>1352</v>
      </c>
      <c r="J127" s="579"/>
      <c r="K127" s="1508"/>
      <c r="L127" s="222"/>
      <c r="M127" s="349"/>
      <c r="N127" s="342"/>
      <c r="O127" s="1632"/>
      <c r="P127" s="1632"/>
      <c r="AH127" s="1639">
        <v>0</v>
      </c>
    </row>
    <row s="1643" customFormat="1" customHeight="1" ht="0.75" hidden="1">
      <c r="A128" s="1787"/>
      <c r="B128" s="1787"/>
      <c r="C128" s="377" t="s">
        <v>1360</v>
      </c>
      <c r="D128" s="2483"/>
      <c r="E128" s="2225"/>
      <c r="F128" s="2404"/>
      <c r="G128" s="408"/>
      <c r="H128" s="1508"/>
      <c r="I128" s="659"/>
      <c r="J128" s="579"/>
      <c r="K128" s="1508"/>
      <c r="L128" s="222"/>
      <c r="M128" s="349"/>
      <c r="N128" s="342"/>
      <c r="O128" s="1632"/>
      <c r="P128" s="1632"/>
      <c r="AH128" s="1639">
        <v>0</v>
      </c>
    </row>
    <row s="1643" customFormat="1" customHeight="1" ht="18.75" hidden="1">
      <c r="A129" s="1787" t="s">
        <v>267</v>
      </c>
      <c r="B129" s="1787" t="s">
        <v>268</v>
      </c>
      <c r="C129" s="377"/>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7"/>
      <c r="I129" s="1746"/>
      <c r="J129" s="1780"/>
      <c r="K129" s="1785"/>
      <c r="L129" s="1867" t="s">
        <v>323</v>
      </c>
      <c r="M129" s="349"/>
      <c r="N129" s="342"/>
      <c r="O129" s="1632"/>
      <c r="P129" s="1632"/>
      <c r="AH129" s="1639">
        <v>0</v>
      </c>
    </row>
    <row s="1643" customFormat="1" customHeight="1" ht="18.75" hidden="1">
      <c r="A130" s="1787"/>
      <c r="B130" s="1787"/>
      <c r="C130" s="377" t="s">
        <v>1353</v>
      </c>
      <c r="D130" s="2483"/>
      <c r="E130" s="2225"/>
      <c r="F130" s="2404"/>
      <c r="G130" s="2448"/>
      <c r="H130" s="1508"/>
      <c r="I130" s="659" t="s">
        <v>1352</v>
      </c>
      <c r="J130" s="579"/>
      <c r="K130" s="1508"/>
      <c r="L130" s="222"/>
      <c r="M130" s="349"/>
      <c r="N130" s="342"/>
      <c r="O130" s="1632"/>
      <c r="P130" s="1632"/>
      <c r="AH130" s="1639">
        <v>0</v>
      </c>
    </row>
    <row s="1643" customFormat="1" customHeight="1" ht="0.75" hidden="1">
      <c r="A131" s="1787"/>
      <c r="B131" s="1787"/>
      <c r="C131" s="377" t="s">
        <v>1360</v>
      </c>
      <c r="D131" s="2483"/>
      <c r="E131" s="2225"/>
      <c r="F131" s="2404"/>
      <c r="G131" s="408"/>
      <c r="H131" s="1508"/>
      <c r="I131" s="659"/>
      <c r="J131" s="579"/>
      <c r="K131" s="1508"/>
      <c r="L131" s="222"/>
      <c r="M131" s="349"/>
      <c r="N131" s="342"/>
      <c r="O131" s="1632"/>
      <c r="P131" s="1632"/>
      <c r="AH131" s="1639">
        <v>0</v>
      </c>
    </row>
    <row s="1643" customFormat="1" customHeight="1" ht="18.75" hidden="1">
      <c r="A132" s="1787" t="s">
        <v>272</v>
      </c>
      <c r="B132" s="1787" t="s">
        <v>273</v>
      </c>
      <c r="C132" s="377"/>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7"/>
      <c r="I132" s="1746"/>
      <c r="J132" s="1780"/>
      <c r="K132" s="1785"/>
      <c r="L132" s="1867" t="s">
        <v>323</v>
      </c>
      <c r="M132" s="349"/>
      <c r="N132" s="342"/>
      <c r="O132" s="1632"/>
      <c r="P132" s="1632"/>
      <c r="AH132" s="1639">
        <v>0</v>
      </c>
    </row>
    <row s="1643" customFormat="1" customHeight="1" ht="18.75" hidden="1">
      <c r="A133" s="1787"/>
      <c r="B133" s="1787"/>
      <c r="C133" s="377" t="s">
        <v>1353</v>
      </c>
      <c r="D133" s="2483"/>
      <c r="E133" s="2225"/>
      <c r="F133" s="2404"/>
      <c r="G133" s="2448"/>
      <c r="H133" s="1508"/>
      <c r="I133" s="659" t="s">
        <v>1352</v>
      </c>
      <c r="J133" s="579"/>
      <c r="K133" s="1508"/>
      <c r="L133" s="222"/>
      <c r="M133" s="349"/>
      <c r="N133" s="342"/>
      <c r="O133" s="1632"/>
      <c r="P133" s="1632"/>
      <c r="AH133" s="1639">
        <v>0</v>
      </c>
    </row>
    <row s="1643" customFormat="1" customHeight="1" ht="0.75" hidden="1">
      <c r="A134" s="1787"/>
      <c r="B134" s="1787"/>
      <c r="C134" s="377" t="s">
        <v>1360</v>
      </c>
      <c r="D134" s="2483"/>
      <c r="E134" s="2225"/>
      <c r="F134" s="2404"/>
      <c r="G134" s="408"/>
      <c r="H134" s="1508"/>
      <c r="I134" s="659"/>
      <c r="J134" s="579"/>
      <c r="K134" s="1508"/>
      <c r="L134" s="222"/>
      <c r="M134" s="349"/>
      <c r="N134" s="342"/>
      <c r="O134" s="1632"/>
      <c r="P134" s="1632"/>
      <c r="AH134" s="1639">
        <v>0</v>
      </c>
    </row>
    <row s="1643" customFormat="1" customHeight="1" ht="18.75" hidden="1">
      <c r="A135" s="1787" t="s">
        <v>277</v>
      </c>
      <c r="B135" s="1787" t="s">
        <v>278</v>
      </c>
      <c r="C135" s="377"/>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7"/>
      <c r="I135" s="1746"/>
      <c r="J135" s="1780"/>
      <c r="K135" s="1785"/>
      <c r="L135" s="1867" t="s">
        <v>323</v>
      </c>
      <c r="M135" s="349"/>
      <c r="N135" s="342"/>
      <c r="O135" s="1632"/>
      <c r="P135" s="1632"/>
      <c r="AH135" s="1639">
        <v>0</v>
      </c>
    </row>
    <row s="1643" customFormat="1" customHeight="1" ht="18.75" hidden="1">
      <c r="A136" s="1787"/>
      <c r="B136" s="1787"/>
      <c r="C136" s="377" t="s">
        <v>1353</v>
      </c>
      <c r="D136" s="2483"/>
      <c r="E136" s="2225"/>
      <c r="F136" s="2404"/>
      <c r="G136" s="2448"/>
      <c r="H136" s="1508"/>
      <c r="I136" s="659" t="s">
        <v>1352</v>
      </c>
      <c r="J136" s="579"/>
      <c r="K136" s="1508"/>
      <c r="L136" s="222"/>
      <c r="M136" s="349"/>
      <c r="N136" s="342"/>
      <c r="O136" s="1632"/>
      <c r="P136" s="1632"/>
      <c r="AH136" s="1639">
        <v>0</v>
      </c>
    </row>
    <row s="1643" customFormat="1" customHeight="1" ht="0.75" hidden="1">
      <c r="A137" s="1787"/>
      <c r="B137" s="1787"/>
      <c r="C137" s="377" t="s">
        <v>1360</v>
      </c>
      <c r="D137" s="2483"/>
      <c r="E137" s="2225"/>
      <c r="F137" s="2404"/>
      <c r="G137" s="408"/>
      <c r="H137" s="1508"/>
      <c r="I137" s="659"/>
      <c r="J137" s="579"/>
      <c r="K137" s="1508"/>
      <c r="L137" s="222"/>
      <c r="M137" s="349"/>
      <c r="N137" s="342"/>
      <c r="O137" s="1632"/>
      <c r="P137" s="1632"/>
      <c r="AH137" s="1639">
        <v>0</v>
      </c>
    </row>
    <row s="1643" customFormat="1" customHeight="1" ht="18.75" hidden="1">
      <c r="A138" s="1787" t="s">
        <v>282</v>
      </c>
      <c r="B138" s="1787" t="s">
        <v>283</v>
      </c>
      <c r="C138" s="377"/>
      <c r="D138" s="2483"/>
      <c r="E138" s="2225"/>
      <c r="F138" s="2404" t="str">
        <f>INDEX(PT_DIFFERENTIATION_VTAR,MATCH(A138,PT_DIFFERENTIATION_VTAR_ID,0))</f>
        <v>Тариф на водоотведение</v>
      </c>
      <c r="G138" s="2448" t="str">
        <f>INDEX(PT_DIFFERENTIATION_NTAR,MATCH(B138,PT_DIFFERENTIATION_NTAR_ID,0))</f>
        <v/>
      </c>
      <c r="H138" s="1867"/>
      <c r="I138" s="1746"/>
      <c r="J138" s="1780"/>
      <c r="K138" s="1785"/>
      <c r="L138" s="1867" t="s">
        <v>323</v>
      </c>
      <c r="M138" s="349"/>
      <c r="N138" s="342"/>
      <c r="O138" s="1632"/>
      <c r="P138" s="1632"/>
      <c r="AH138" s="1639">
        <v>0</v>
      </c>
    </row>
    <row s="1643" customFormat="1" customHeight="1" ht="18.75" hidden="1">
      <c r="A139" s="1787"/>
      <c r="B139" s="1787"/>
      <c r="C139" s="377" t="s">
        <v>1353</v>
      </c>
      <c r="D139" s="2483"/>
      <c r="E139" s="2225"/>
      <c r="F139" s="2404"/>
      <c r="G139" s="2448"/>
      <c r="H139" s="1508"/>
      <c r="I139" s="659" t="s">
        <v>1352</v>
      </c>
      <c r="J139" s="579"/>
      <c r="K139" s="1508"/>
      <c r="L139" s="222"/>
      <c r="M139" s="349"/>
      <c r="N139" s="342"/>
      <c r="O139" s="1632"/>
      <c r="P139" s="1632"/>
      <c r="AH139" s="1639">
        <v>0</v>
      </c>
    </row>
    <row s="1643" customFormat="1" customHeight="1" ht="0.75" hidden="1">
      <c r="A140" s="1787"/>
      <c r="B140" s="1787"/>
      <c r="C140" s="377" t="s">
        <v>1360</v>
      </c>
      <c r="D140" s="2483"/>
      <c r="E140" s="2225"/>
      <c r="F140" s="2404"/>
      <c r="G140" s="408"/>
      <c r="H140" s="1508"/>
      <c r="I140" s="659"/>
      <c r="J140" s="579"/>
      <c r="K140" s="1508"/>
      <c r="L140" s="222"/>
      <c r="M140" s="349"/>
      <c r="N140" s="342"/>
      <c r="O140" s="1632"/>
      <c r="P140" s="1632"/>
      <c r="AH140" s="1639">
        <v>0</v>
      </c>
    </row>
    <row s="1643" customFormat="1" customHeight="1" ht="18.75" hidden="1">
      <c r="A141" s="1787" t="s">
        <v>287</v>
      </c>
      <c r="B141" s="1787" t="s">
        <v>288</v>
      </c>
      <c r="C141" s="377"/>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7"/>
      <c r="I141" s="1746"/>
      <c r="J141" s="1780"/>
      <c r="K141" s="1785"/>
      <c r="L141" s="1867" t="s">
        <v>323</v>
      </c>
      <c r="M141" s="349"/>
      <c r="N141" s="342"/>
      <c r="O141" s="1632"/>
      <c r="P141" s="1632"/>
      <c r="AH141" s="1639">
        <v>0</v>
      </c>
    </row>
    <row s="1643" customFormat="1" customHeight="1" ht="18.75" hidden="1">
      <c r="A142" s="1787"/>
      <c r="B142" s="1787"/>
      <c r="C142" s="377" t="s">
        <v>1353</v>
      </c>
      <c r="D142" s="2483"/>
      <c r="E142" s="2225"/>
      <c r="F142" s="2404"/>
      <c r="G142" s="2448"/>
      <c r="H142" s="1508"/>
      <c r="I142" s="659" t="s">
        <v>1352</v>
      </c>
      <c r="J142" s="579"/>
      <c r="K142" s="1508"/>
      <c r="L142" s="222"/>
      <c r="M142" s="349"/>
      <c r="N142" s="342"/>
      <c r="O142" s="1632"/>
      <c r="P142" s="1632"/>
      <c r="AH142" s="1639">
        <v>0</v>
      </c>
    </row>
    <row s="1643" customFormat="1" customHeight="1" ht="0.75" hidden="1">
      <c r="A143" s="1787"/>
      <c r="B143" s="1787"/>
      <c r="C143" s="377" t="s">
        <v>1360</v>
      </c>
      <c r="D143" s="2483"/>
      <c r="E143" s="2225"/>
      <c r="F143" s="2404"/>
      <c r="G143" s="408"/>
      <c r="H143" s="1508"/>
      <c r="I143" s="659"/>
      <c r="J143" s="579"/>
      <c r="K143" s="1508"/>
      <c r="L143" s="222"/>
      <c r="M143" s="349"/>
      <c r="N143" s="342"/>
      <c r="O143" s="1632"/>
      <c r="P143" s="1632"/>
      <c r="AH143" s="1639">
        <v>0</v>
      </c>
    </row>
    <row s="1643" customFormat="1" customHeight="1" ht="18.75" hidden="1">
      <c r="A144" s="1787" t="s">
        <v>292</v>
      </c>
      <c r="B144" s="1787" t="s">
        <v>293</v>
      </c>
      <c r="C144" s="377"/>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7"/>
      <c r="I144" s="1746"/>
      <c r="J144" s="1780"/>
      <c r="K144" s="1785"/>
      <c r="L144" s="1867" t="s">
        <v>323</v>
      </c>
      <c r="M144" s="349"/>
      <c r="N144" s="342"/>
      <c r="O144" s="1632"/>
      <c r="P144" s="1632"/>
      <c r="AH144" s="1639">
        <v>0</v>
      </c>
    </row>
    <row s="1643" customFormat="1" customHeight="1" ht="18.75" hidden="1">
      <c r="A145" s="1787"/>
      <c r="B145" s="1787"/>
      <c r="C145" s="377" t="s">
        <v>1353</v>
      </c>
      <c r="D145" s="2483"/>
      <c r="E145" s="2225"/>
      <c r="F145" s="2404"/>
      <c r="G145" s="2448"/>
      <c r="H145" s="1508"/>
      <c r="I145" s="659" t="s">
        <v>1352</v>
      </c>
      <c r="J145" s="579"/>
      <c r="K145" s="1508"/>
      <c r="L145" s="222"/>
      <c r="M145" s="349"/>
      <c r="N145" s="342"/>
      <c r="O145" s="1632"/>
      <c r="P145" s="1632"/>
      <c r="AH145" s="1639">
        <v>0</v>
      </c>
    </row>
    <row s="1643" customFormat="1" customHeight="1" ht="1.05">
      <c r="A146" s="1787"/>
      <c r="B146" s="1787"/>
      <c r="C146" s="377" t="s">
        <v>1360</v>
      </c>
      <c r="D146" s="2483"/>
      <c r="E146" s="2225"/>
      <c r="F146" s="2404"/>
      <c r="G146" s="408"/>
      <c r="H146" s="1508"/>
      <c r="I146" s="659"/>
      <c r="J146" s="579"/>
      <c r="K146" s="1508"/>
      <c r="L146" s="222"/>
      <c r="M146" s="349"/>
      <c r="N146" s="342"/>
      <c r="O146" s="1632"/>
      <c r="P146" s="1632"/>
      <c r="AH146" s="1639">
        <v>1</v>
      </c>
    </row>
    <row customHeight="1" ht="19.95">
      <c r="A147" s="1787"/>
      <c r="B147" s="1787"/>
      <c r="D147" s="384"/>
      <c r="E147" s="155" t="s">
        <v>91</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1"/>
      <c r="H147" s="2481"/>
      <c r="I147" s="2481"/>
      <c r="J147" s="2481"/>
      <c r="K147" s="2481"/>
      <c r="L147" s="2481"/>
      <c r="M147" s="305"/>
      <c r="N147" s="342"/>
      <c r="AH147" s="382">
        <v>19</v>
      </c>
    </row>
    <row s="1643" customFormat="1" customHeight="1" ht="60.75" hidden="1">
      <c r="A148" s="1787" t="s">
        <v>174</v>
      </c>
      <c r="B148" s="1787" t="s">
        <v>175</v>
      </c>
      <c r="C148" s="377"/>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7"/>
      <c r="I148" s="1746"/>
      <c r="J148" s="1780"/>
      <c r="K148" s="1785"/>
      <c r="L148" s="1867" t="s">
        <v>323</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7"/>
      <c r="B149" s="1787"/>
      <c r="C149" s="377" t="s">
        <v>1353</v>
      </c>
      <c r="D149" s="2483"/>
      <c r="E149" s="2225"/>
      <c r="F149" s="2404"/>
      <c r="G149" s="2448"/>
      <c r="H149" s="1508"/>
      <c r="I149" s="659" t="s">
        <v>1352</v>
      </c>
      <c r="J149" s="579"/>
      <c r="K149" s="1508"/>
      <c r="L149" s="222"/>
      <c r="M149" s="2191"/>
      <c r="N149" s="342"/>
      <c r="O149" s="1632"/>
      <c r="P149" s="1632"/>
      <c r="AH149" s="1639">
        <v>0</v>
      </c>
    </row>
    <row s="1643" customFormat="1" customHeight="1" ht="0.75" hidden="1">
      <c r="A150" s="1787"/>
      <c r="B150" s="1787"/>
      <c r="C150" s="377" t="s">
        <v>1360</v>
      </c>
      <c r="D150" s="2483"/>
      <c r="E150" s="2225"/>
      <c r="F150" s="2404"/>
      <c r="G150" s="408"/>
      <c r="H150" s="1508"/>
      <c r="I150" s="659"/>
      <c r="J150" s="579"/>
      <c r="K150" s="1508"/>
      <c r="L150" s="222"/>
      <c r="M150" s="2191"/>
      <c r="N150" s="342"/>
      <c r="O150" s="1632"/>
      <c r="P150" s="1632"/>
      <c r="AH150" s="1639">
        <v>0</v>
      </c>
    </row>
    <row s="1643" customFormat="1" customHeight="1" ht="45" hidden="1">
      <c r="A151" s="1787" t="s">
        <v>179</v>
      </c>
      <c r="B151" s="1787" t="s">
        <v>180</v>
      </c>
      <c r="C151" s="377"/>
      <c r="D151" s="2483"/>
      <c r="E151" s="2225"/>
      <c r="F151" s="2404" t="str">
        <f>INDEX(PT_DIFFERENTIATION_VTAR,MATCH(A151,PT_DIFFERENTIATION_VTAR_ID,0))</f>
        <v/>
      </c>
      <c r="G151" s="2448" t="str">
        <f>INDEX(PT_DIFFERENTIATION_NTAR,MATCH(B151,PT_DIFFERENTIATION_NTAR_ID,0))</f>
        <v/>
      </c>
      <c r="H151" s="1867"/>
      <c r="I151" s="1746"/>
      <c r="J151" s="1780"/>
      <c r="K151" s="1785"/>
      <c r="L151" s="1867" t="s">
        <v>323</v>
      </c>
      <c r="M151" s="2192"/>
      <c r="N151" s="342"/>
      <c r="O151" s="1632"/>
      <c r="P151" s="1632"/>
      <c r="AH151" s="1639">
        <v>0</v>
      </c>
    </row>
    <row s="1643" customFormat="1" customHeight="1" ht="18.75" hidden="1">
      <c r="A152" s="1787"/>
      <c r="B152" s="1787"/>
      <c r="C152" s="377" t="s">
        <v>1353</v>
      </c>
      <c r="D152" s="2483"/>
      <c r="E152" s="2225"/>
      <c r="F152" s="2404"/>
      <c r="G152" s="2448"/>
      <c r="H152" s="1508"/>
      <c r="I152" s="659" t="s">
        <v>1352</v>
      </c>
      <c r="J152" s="579"/>
      <c r="K152" s="1508"/>
      <c r="L152" s="222"/>
      <c r="M152" s="1866"/>
      <c r="N152" s="342"/>
      <c r="O152" s="1632"/>
      <c r="P152" s="1632"/>
      <c r="AH152" s="1639">
        <v>0</v>
      </c>
    </row>
    <row s="1643" customFormat="1" customHeight="1" ht="0.75" hidden="1">
      <c r="A153" s="1787"/>
      <c r="B153" s="1787"/>
      <c r="C153" s="377" t="s">
        <v>1360</v>
      </c>
      <c r="D153" s="2483"/>
      <c r="E153" s="2225"/>
      <c r="F153" s="2404"/>
      <c r="G153" s="408"/>
      <c r="H153" s="1508"/>
      <c r="I153" s="659"/>
      <c r="J153" s="579"/>
      <c r="K153" s="1508"/>
      <c r="L153" s="222"/>
      <c r="M153" s="349"/>
      <c r="N153" s="342"/>
      <c r="O153" s="1632"/>
      <c r="P153" s="1632"/>
      <c r="AH153" s="1639">
        <v>0</v>
      </c>
    </row>
    <row s="1643" customFormat="1" customHeight="1" ht="45" hidden="1">
      <c r="A154" s="1787" t="s">
        <v>186</v>
      </c>
      <c r="B154" s="1787" t="s">
        <v>187</v>
      </c>
      <c r="C154" s="377"/>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7"/>
      <c r="I154" s="1746"/>
      <c r="J154" s="1780"/>
      <c r="K154" s="1785"/>
      <c r="L154" s="1867" t="s">
        <v>323</v>
      </c>
      <c r="M154" s="349"/>
      <c r="N154" s="342"/>
      <c r="O154" s="1632"/>
      <c r="P154" s="1632"/>
      <c r="AH154" s="1639">
        <v>0</v>
      </c>
    </row>
    <row s="1643" customFormat="1" customHeight="1" ht="18.75" hidden="1">
      <c r="A155" s="1787"/>
      <c r="B155" s="1787"/>
      <c r="C155" s="377" t="s">
        <v>1353</v>
      </c>
      <c r="D155" s="2483"/>
      <c r="E155" s="2225"/>
      <c r="F155" s="2404"/>
      <c r="G155" s="2448"/>
      <c r="H155" s="1508"/>
      <c r="I155" s="659" t="s">
        <v>1352</v>
      </c>
      <c r="J155" s="579"/>
      <c r="K155" s="1508"/>
      <c r="L155" s="222"/>
      <c r="M155" s="349"/>
      <c r="N155" s="342"/>
      <c r="O155" s="1632"/>
      <c r="P155" s="1632"/>
      <c r="AH155" s="1639">
        <v>0</v>
      </c>
    </row>
    <row s="1643" customFormat="1" customHeight="1" ht="0.75" hidden="1">
      <c r="A156" s="1787"/>
      <c r="B156" s="1787"/>
      <c r="C156" s="377" t="s">
        <v>1360</v>
      </c>
      <c r="D156" s="2483"/>
      <c r="E156" s="2225"/>
      <c r="F156" s="2404"/>
      <c r="G156" s="408"/>
      <c r="H156" s="1508"/>
      <c r="I156" s="659"/>
      <c r="J156" s="579"/>
      <c r="K156" s="1508"/>
      <c r="L156" s="222"/>
      <c r="M156" s="349"/>
      <c r="N156" s="342"/>
      <c r="O156" s="1632"/>
      <c r="P156" s="1632"/>
      <c r="AH156" s="1639">
        <v>0</v>
      </c>
    </row>
    <row s="1643" customFormat="1" customHeight="1" ht="45" hidden="1">
      <c r="A157" s="1787" t="s">
        <v>192</v>
      </c>
      <c r="B157" s="1787" t="s">
        <v>193</v>
      </c>
      <c r="C157" s="377"/>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7"/>
      <c r="I157" s="1746"/>
      <c r="J157" s="1780"/>
      <c r="K157" s="1785"/>
      <c r="L157" s="1867" t="s">
        <v>323</v>
      </c>
      <c r="M157" s="349"/>
      <c r="N157" s="342"/>
      <c r="O157" s="1632"/>
      <c r="P157" s="1632"/>
      <c r="AH157" s="1639">
        <v>0</v>
      </c>
    </row>
    <row s="1643" customFormat="1" customHeight="1" ht="18.75" hidden="1">
      <c r="A158" s="1787"/>
      <c r="B158" s="1787"/>
      <c r="C158" s="377" t="s">
        <v>1353</v>
      </c>
      <c r="D158" s="2483"/>
      <c r="E158" s="2225"/>
      <c r="F158" s="2404"/>
      <c r="G158" s="2448"/>
      <c r="H158" s="1508"/>
      <c r="I158" s="659" t="s">
        <v>1352</v>
      </c>
      <c r="J158" s="579"/>
      <c r="K158" s="1508"/>
      <c r="L158" s="222"/>
      <c r="M158" s="349"/>
      <c r="N158" s="342"/>
      <c r="O158" s="1632"/>
      <c r="P158" s="1632"/>
      <c r="AH158" s="1639">
        <v>0</v>
      </c>
    </row>
    <row s="1643" customFormat="1" customHeight="1" ht="0.75" hidden="1">
      <c r="A159" s="1787"/>
      <c r="B159" s="1787"/>
      <c r="C159" s="377" t="s">
        <v>1360</v>
      </c>
      <c r="D159" s="2483"/>
      <c r="E159" s="2225"/>
      <c r="F159" s="2404"/>
      <c r="G159" s="408"/>
      <c r="H159" s="1508"/>
      <c r="I159" s="659"/>
      <c r="J159" s="579"/>
      <c r="K159" s="1508"/>
      <c r="L159" s="222"/>
      <c r="M159" s="349"/>
      <c r="N159" s="342"/>
      <c r="O159" s="1632"/>
      <c r="P159" s="1632"/>
      <c r="AH159" s="1639">
        <v>0</v>
      </c>
    </row>
    <row s="1643" customFormat="1" customHeight="1" ht="18.75" hidden="1">
      <c r="A160" s="1787" t="s">
        <v>198</v>
      </c>
      <c r="B160" s="1787" t="s">
        <v>199</v>
      </c>
      <c r="C160" s="377"/>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7"/>
      <c r="I160" s="1746"/>
      <c r="J160" s="1780"/>
      <c r="K160" s="1785"/>
      <c r="L160" s="1867" t="s">
        <v>323</v>
      </c>
      <c r="M160" s="349"/>
      <c r="N160" s="342"/>
      <c r="O160" s="1632"/>
      <c r="P160" s="1632"/>
      <c r="AH160" s="1639">
        <v>0</v>
      </c>
    </row>
    <row s="1643" customFormat="1" customHeight="1" ht="18.75" hidden="1">
      <c r="A161" s="1787"/>
      <c r="B161" s="1787"/>
      <c r="C161" s="377" t="s">
        <v>1353</v>
      </c>
      <c r="D161" s="2483"/>
      <c r="E161" s="2225"/>
      <c r="F161" s="2404"/>
      <c r="G161" s="2448"/>
      <c r="H161" s="1508"/>
      <c r="I161" s="659" t="s">
        <v>1352</v>
      </c>
      <c r="J161" s="579"/>
      <c r="K161" s="1508"/>
      <c r="L161" s="222"/>
      <c r="M161" s="349"/>
      <c r="N161" s="342"/>
      <c r="O161" s="1632"/>
      <c r="P161" s="1632"/>
      <c r="AH161" s="1639">
        <v>0</v>
      </c>
    </row>
    <row s="1643" customFormat="1" customHeight="1" ht="0.75" hidden="1">
      <c r="A162" s="1787"/>
      <c r="B162" s="1787"/>
      <c r="C162" s="377" t="s">
        <v>1360</v>
      </c>
      <c r="D162" s="2483"/>
      <c r="E162" s="2225"/>
      <c r="F162" s="2404"/>
      <c r="G162" s="408"/>
      <c r="H162" s="1508"/>
      <c r="I162" s="659"/>
      <c r="J162" s="579"/>
      <c r="K162" s="1508"/>
      <c r="L162" s="222"/>
      <c r="M162" s="349"/>
      <c r="N162" s="342"/>
      <c r="O162" s="1632"/>
      <c r="P162" s="1632"/>
      <c r="AH162" s="1639">
        <v>0</v>
      </c>
    </row>
    <row s="1643" customFormat="1" customHeight="1" ht="18.75" hidden="1">
      <c r="A163" s="1787" t="s">
        <v>204</v>
      </c>
      <c r="B163" s="1787" t="s">
        <v>205</v>
      </c>
      <c r="C163" s="377"/>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7"/>
      <c r="I163" s="1746"/>
      <c r="J163" s="1780"/>
      <c r="K163" s="1785"/>
      <c r="L163" s="1867" t="s">
        <v>323</v>
      </c>
      <c r="M163" s="349"/>
      <c r="N163" s="342"/>
      <c r="O163" s="1632"/>
      <c r="P163" s="1632"/>
      <c r="AH163" s="1639">
        <v>0</v>
      </c>
    </row>
    <row s="1643" customFormat="1" customHeight="1" ht="18.75" hidden="1">
      <c r="A164" s="1787"/>
      <c r="B164" s="1787"/>
      <c r="C164" s="377" t="s">
        <v>1353</v>
      </c>
      <c r="D164" s="2483"/>
      <c r="E164" s="2225"/>
      <c r="F164" s="2404"/>
      <c r="G164" s="2448"/>
      <c r="H164" s="1508"/>
      <c r="I164" s="659" t="s">
        <v>1352</v>
      </c>
      <c r="J164" s="579"/>
      <c r="K164" s="1508"/>
      <c r="L164" s="222"/>
      <c r="M164" s="349"/>
      <c r="N164" s="342"/>
      <c r="O164" s="1632"/>
      <c r="P164" s="1632"/>
      <c r="AH164" s="1639">
        <v>0</v>
      </c>
    </row>
    <row s="1643" customFormat="1" customHeight="1" ht="0.75" hidden="1">
      <c r="A165" s="1787"/>
      <c r="B165" s="1787"/>
      <c r="C165" s="377" t="s">
        <v>1360</v>
      </c>
      <c r="D165" s="2483"/>
      <c r="E165" s="2225"/>
      <c r="F165" s="2404"/>
      <c r="G165" s="408"/>
      <c r="H165" s="1508"/>
      <c r="I165" s="659"/>
      <c r="J165" s="579"/>
      <c r="K165" s="1508"/>
      <c r="L165" s="222"/>
      <c r="M165" s="349"/>
      <c r="N165" s="342"/>
      <c r="O165" s="1632"/>
      <c r="P165" s="1632"/>
      <c r="AH165" s="1639">
        <v>0</v>
      </c>
    </row>
    <row s="1643" customFormat="1" customHeight="1" ht="18.75" hidden="1">
      <c r="A166" s="1787" t="s">
        <v>210</v>
      </c>
      <c r="B166" s="1787" t="s">
        <v>211</v>
      </c>
      <c r="C166" s="377"/>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7"/>
      <c r="I166" s="1746"/>
      <c r="J166" s="1780"/>
      <c r="K166" s="1785"/>
      <c r="L166" s="1867" t="s">
        <v>323</v>
      </c>
      <c r="M166" s="349"/>
      <c r="N166" s="342"/>
      <c r="O166" s="1632"/>
      <c r="P166" s="1632"/>
      <c r="AH166" s="1639">
        <v>0</v>
      </c>
    </row>
    <row s="1643" customFormat="1" customHeight="1" ht="18.75" hidden="1">
      <c r="A167" s="1787"/>
      <c r="B167" s="1787"/>
      <c r="C167" s="377" t="s">
        <v>1353</v>
      </c>
      <c r="D167" s="2483"/>
      <c r="E167" s="2225"/>
      <c r="F167" s="2404"/>
      <c r="G167" s="2448"/>
      <c r="H167" s="1508"/>
      <c r="I167" s="659" t="s">
        <v>1352</v>
      </c>
      <c r="J167" s="579"/>
      <c r="K167" s="1508"/>
      <c r="L167" s="222"/>
      <c r="M167" s="349"/>
      <c r="N167" s="342"/>
      <c r="O167" s="1632"/>
      <c r="P167" s="1632"/>
      <c r="AH167" s="1639">
        <v>0</v>
      </c>
    </row>
    <row s="1643" customFormat="1" customHeight="1" ht="0.75" hidden="1">
      <c r="A168" s="1787"/>
      <c r="B168" s="1787"/>
      <c r="C168" s="377" t="s">
        <v>1360</v>
      </c>
      <c r="D168" s="2483"/>
      <c r="E168" s="2225"/>
      <c r="F168" s="2404"/>
      <c r="G168" s="408"/>
      <c r="H168" s="1508"/>
      <c r="I168" s="659"/>
      <c r="J168" s="579"/>
      <c r="K168" s="1508"/>
      <c r="L168" s="222"/>
      <c r="M168" s="349"/>
      <c r="N168" s="342"/>
      <c r="O168" s="1632"/>
      <c r="P168" s="1632"/>
      <c r="AH168" s="1639">
        <v>0</v>
      </c>
    </row>
    <row s="1643" customFormat="1" customHeight="1" ht="18.75" hidden="1">
      <c r="A169" s="1787" t="s">
        <v>216</v>
      </c>
      <c r="B169" s="1787" t="s">
        <v>217</v>
      </c>
      <c r="C169" s="377"/>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7"/>
      <c r="I169" s="1746"/>
      <c r="J169" s="1780"/>
      <c r="K169" s="1785"/>
      <c r="L169" s="1867" t="s">
        <v>323</v>
      </c>
      <c r="M169" s="349"/>
      <c r="N169" s="342"/>
      <c r="O169" s="1632"/>
      <c r="P169" s="1632"/>
      <c r="AH169" s="1639">
        <v>0</v>
      </c>
    </row>
    <row s="1643" customFormat="1" customHeight="1" ht="18.75" hidden="1">
      <c r="A170" s="1787"/>
      <c r="B170" s="1787"/>
      <c r="C170" s="377" t="s">
        <v>1353</v>
      </c>
      <c r="D170" s="2483"/>
      <c r="E170" s="2225"/>
      <c r="F170" s="2404"/>
      <c r="G170" s="2448"/>
      <c r="H170" s="1508"/>
      <c r="I170" s="659" t="s">
        <v>1352</v>
      </c>
      <c r="J170" s="579"/>
      <c r="K170" s="1508"/>
      <c r="L170" s="222"/>
      <c r="M170" s="349"/>
      <c r="N170" s="342"/>
      <c r="O170" s="1632"/>
      <c r="P170" s="1632"/>
      <c r="AH170" s="1639">
        <v>0</v>
      </c>
    </row>
    <row s="1643" customFormat="1" customHeight="1" ht="0.75" hidden="1">
      <c r="A171" s="1787"/>
      <c r="B171" s="1787"/>
      <c r="C171" s="377" t="s">
        <v>1360</v>
      </c>
      <c r="D171" s="2483"/>
      <c r="E171" s="2225"/>
      <c r="F171" s="2404"/>
      <c r="G171" s="408"/>
      <c r="H171" s="1508"/>
      <c r="I171" s="659"/>
      <c r="J171" s="579"/>
      <c r="K171" s="1508"/>
      <c r="L171" s="222"/>
      <c r="M171" s="349"/>
      <c r="N171" s="342"/>
      <c r="O171" s="1632"/>
      <c r="P171" s="1632"/>
      <c r="AH171" s="1639">
        <v>0</v>
      </c>
    </row>
    <row s="1643" customFormat="1" customHeight="1" ht="18.75" hidden="1">
      <c r="A172" s="1787" t="s">
        <v>222</v>
      </c>
      <c r="B172" s="1787" t="s">
        <v>223</v>
      </c>
      <c r="C172" s="377"/>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94"/>
      <c r="I172" s="1746"/>
      <c r="J172" s="1780"/>
      <c r="K172" s="1785"/>
      <c r="L172" s="1994" t="s">
        <v>323</v>
      </c>
      <c r="M172" s="349"/>
      <c r="N172" s="342"/>
      <c r="O172" s="1632"/>
      <c r="P172" s="1632"/>
      <c r="AH172" s="1639">
        <v>0</v>
      </c>
    </row>
    <row s="1643" customFormat="1" customHeight="1" ht="18.75" hidden="1">
      <c r="A173" s="1787"/>
      <c r="B173" s="1787"/>
      <c r="C173" s="377" t="s">
        <v>1353</v>
      </c>
      <c r="D173" s="2483"/>
      <c r="E173" s="2225"/>
      <c r="F173" s="2404"/>
      <c r="G173" s="2448"/>
      <c r="H173" s="1508"/>
      <c r="I173" s="659" t="s">
        <v>1352</v>
      </c>
      <c r="J173" s="579"/>
      <c r="K173" s="1508"/>
      <c r="L173" s="222"/>
      <c r="M173" s="349"/>
      <c r="N173" s="342"/>
      <c r="O173" s="1632"/>
      <c r="P173" s="1632"/>
      <c r="AH173" s="1639">
        <v>0</v>
      </c>
    </row>
    <row s="1643" customFormat="1" customHeight="1" ht="0.75" hidden="1">
      <c r="A174" s="1787"/>
      <c r="B174" s="1787"/>
      <c r="C174" s="377" t="s">
        <v>1360</v>
      </c>
      <c r="D174" s="2483"/>
      <c r="E174" s="2225"/>
      <c r="F174" s="2404"/>
      <c r="G174" s="408"/>
      <c r="H174" s="1508"/>
      <c r="I174" s="659"/>
      <c r="J174" s="579"/>
      <c r="K174" s="1508"/>
      <c r="L174" s="222"/>
      <c r="M174" s="349"/>
      <c r="N174" s="342"/>
      <c r="O174" s="1632"/>
      <c r="P174" s="1632"/>
      <c r="AH174" s="1639">
        <v>0</v>
      </c>
    </row>
    <row s="1643" customFormat="1" customHeight="1" ht="18.75" hidden="1">
      <c r="A175" s="1787" t="s">
        <v>242</v>
      </c>
      <c r="B175" s="1787" t="s">
        <v>243</v>
      </c>
      <c r="C175" s="377"/>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7"/>
      <c r="I175" s="1746"/>
      <c r="J175" s="1780"/>
      <c r="K175" s="1785"/>
      <c r="L175" s="1867" t="s">
        <v>323</v>
      </c>
      <c r="M175" s="349"/>
      <c r="N175" s="342"/>
      <c r="O175" s="1632"/>
      <c r="P175" s="1632"/>
      <c r="AH175" s="1639">
        <v>0</v>
      </c>
    </row>
    <row s="1643" customFormat="1" customHeight="1" ht="18.75" hidden="1">
      <c r="A176" s="1787"/>
      <c r="B176" s="1787"/>
      <c r="C176" s="377" t="s">
        <v>1353</v>
      </c>
      <c r="D176" s="2483"/>
      <c r="E176" s="2225"/>
      <c r="F176" s="2404"/>
      <c r="G176" s="2448"/>
      <c r="H176" s="1508"/>
      <c r="I176" s="659" t="s">
        <v>1352</v>
      </c>
      <c r="J176" s="579"/>
      <c r="K176" s="1508"/>
      <c r="L176" s="222"/>
      <c r="M176" s="349"/>
      <c r="N176" s="342"/>
      <c r="O176" s="1632"/>
      <c r="P176" s="1632"/>
      <c r="AH176" s="1639">
        <v>0</v>
      </c>
    </row>
    <row s="1643" customFormat="1" customHeight="1" ht="0.75" hidden="1">
      <c r="A177" s="1787"/>
      <c r="B177" s="1787"/>
      <c r="C177" s="377" t="s">
        <v>1360</v>
      </c>
      <c r="D177" s="2483"/>
      <c r="E177" s="2225"/>
      <c r="F177" s="2404"/>
      <c r="G177" s="408"/>
      <c r="H177" s="1508"/>
      <c r="I177" s="659"/>
      <c r="J177" s="579"/>
      <c r="K177" s="1508"/>
      <c r="L177" s="222"/>
      <c r="M177" s="349"/>
      <c r="N177" s="342"/>
      <c r="O177" s="1632"/>
      <c r="P177" s="1632"/>
      <c r="AH177" s="1639">
        <v>0</v>
      </c>
    </row>
    <row s="1643" customFormat="1" customHeight="1" ht="18.75" hidden="1">
      <c r="A178" s="1787" t="s">
        <v>247</v>
      </c>
      <c r="B178" s="1787" t="s">
        <v>248</v>
      </c>
      <c r="C178" s="377"/>
      <c r="D178" s="2483"/>
      <c r="E178" s="2225"/>
      <c r="F178" s="2404" t="str">
        <f>INDEX(PT_DIFFERENTIATION_VTAR,MATCH(A178,PT_DIFFERENTIATION_VTAR_ID,0))</f>
        <v>Тариф на техническую воду</v>
      </c>
      <c r="G178" s="2448" t="str">
        <f>INDEX(PT_DIFFERENTIATION_NTAR,MATCH(B178,PT_DIFFERENTIATION_NTAR_ID,0))</f>
        <v/>
      </c>
      <c r="H178" s="1867"/>
      <c r="I178" s="1746"/>
      <c r="J178" s="1780"/>
      <c r="K178" s="1785"/>
      <c r="L178" s="1867" t="s">
        <v>323</v>
      </c>
      <c r="M178" s="349"/>
      <c r="N178" s="342"/>
      <c r="O178" s="1632"/>
      <c r="P178" s="1632"/>
      <c r="AH178" s="1639">
        <v>0</v>
      </c>
    </row>
    <row s="1643" customFormat="1" customHeight="1" ht="18.75" hidden="1">
      <c r="A179" s="1787"/>
      <c r="B179" s="1787"/>
      <c r="C179" s="377" t="s">
        <v>1353</v>
      </c>
      <c r="D179" s="2483"/>
      <c r="E179" s="2225"/>
      <c r="F179" s="2404"/>
      <c r="G179" s="2448"/>
      <c r="H179" s="1508"/>
      <c r="I179" s="659" t="s">
        <v>1352</v>
      </c>
      <c r="J179" s="579"/>
      <c r="K179" s="1508"/>
      <c r="L179" s="222"/>
      <c r="M179" s="349"/>
      <c r="N179" s="342"/>
      <c r="O179" s="1632"/>
      <c r="P179" s="1632"/>
      <c r="AH179" s="1639">
        <v>0</v>
      </c>
    </row>
    <row s="1643" customFormat="1" customHeight="1" ht="0.75" hidden="1">
      <c r="A180" s="1787"/>
      <c r="B180" s="1787"/>
      <c r="C180" s="377" t="s">
        <v>1360</v>
      </c>
      <c r="D180" s="2483"/>
      <c r="E180" s="2225"/>
      <c r="F180" s="2404"/>
      <c r="G180" s="408"/>
      <c r="H180" s="1508"/>
      <c r="I180" s="659"/>
      <c r="J180" s="579"/>
      <c r="K180" s="1508"/>
      <c r="L180" s="222"/>
      <c r="M180" s="349"/>
      <c r="N180" s="342"/>
      <c r="O180" s="1632"/>
      <c r="P180" s="1632"/>
      <c r="AH180" s="1639">
        <v>0</v>
      </c>
    </row>
    <row s="1643" customFormat="1" customHeight="1" ht="18.75" hidden="1">
      <c r="A181" s="1787" t="s">
        <v>252</v>
      </c>
      <c r="B181" s="1787" t="s">
        <v>253</v>
      </c>
      <c r="C181" s="377"/>
      <c r="D181" s="2483"/>
      <c r="E181" s="2225"/>
      <c r="F181" s="2404" t="str">
        <f>INDEX(PT_DIFFERENTIATION_VTAR,MATCH(A181,PT_DIFFERENTIATION_VTAR_ID,0))</f>
        <v>Тариф на транспортировку воды</v>
      </c>
      <c r="G181" s="2448" t="str">
        <f>INDEX(PT_DIFFERENTIATION_NTAR,MATCH(B181,PT_DIFFERENTIATION_NTAR_ID,0))</f>
        <v/>
      </c>
      <c r="H181" s="1867"/>
      <c r="I181" s="1746"/>
      <c r="J181" s="1780"/>
      <c r="K181" s="1785"/>
      <c r="L181" s="1867" t="s">
        <v>323</v>
      </c>
      <c r="M181" s="349"/>
      <c r="N181" s="342"/>
      <c r="O181" s="1632"/>
      <c r="P181" s="1632"/>
      <c r="AH181" s="1639">
        <v>0</v>
      </c>
    </row>
    <row s="1643" customFormat="1" customHeight="1" ht="18.75" hidden="1">
      <c r="A182" s="1787"/>
      <c r="B182" s="1787"/>
      <c r="C182" s="377" t="s">
        <v>1353</v>
      </c>
      <c r="D182" s="2483"/>
      <c r="E182" s="2225"/>
      <c r="F182" s="2404"/>
      <c r="G182" s="2448"/>
      <c r="H182" s="1508"/>
      <c r="I182" s="659" t="s">
        <v>1352</v>
      </c>
      <c r="J182" s="579"/>
      <c r="K182" s="1508"/>
      <c r="L182" s="222"/>
      <c r="M182" s="349"/>
      <c r="N182" s="342"/>
      <c r="O182" s="1632"/>
      <c r="P182" s="1632"/>
      <c r="AH182" s="1639">
        <v>0</v>
      </c>
    </row>
    <row s="1643" customFormat="1" customHeight="1" ht="0.75" hidden="1">
      <c r="A183" s="1787"/>
      <c r="B183" s="1787"/>
      <c r="C183" s="377" t="s">
        <v>1360</v>
      </c>
      <c r="D183" s="2483"/>
      <c r="E183" s="2225"/>
      <c r="F183" s="2404"/>
      <c r="G183" s="408"/>
      <c r="H183" s="1508"/>
      <c r="I183" s="659"/>
      <c r="J183" s="579"/>
      <c r="K183" s="1508"/>
      <c r="L183" s="222"/>
      <c r="M183" s="349"/>
      <c r="N183" s="342"/>
      <c r="O183" s="1632"/>
      <c r="P183" s="1632"/>
      <c r="AH183" s="1639">
        <v>0</v>
      </c>
    </row>
    <row s="1643" customFormat="1" customHeight="1" ht="18.75" hidden="1">
      <c r="A184" s="1787" t="s">
        <v>257</v>
      </c>
      <c r="B184" s="1787" t="s">
        <v>258</v>
      </c>
      <c r="C184" s="377"/>
      <c r="D184" s="2483"/>
      <c r="E184" s="2225"/>
      <c r="F184" s="2404" t="str">
        <f>INDEX(PT_DIFFERENTIATION_VTAR,MATCH(A184,PT_DIFFERENTIATION_VTAR_ID,0))</f>
        <v>Тариф на подвоз воды</v>
      </c>
      <c r="G184" s="2448" t="str">
        <f>INDEX(PT_DIFFERENTIATION_NTAR,MATCH(B184,PT_DIFFERENTIATION_NTAR_ID,0))</f>
        <v/>
      </c>
      <c r="H184" s="1867"/>
      <c r="I184" s="1746"/>
      <c r="J184" s="1780"/>
      <c r="K184" s="1785"/>
      <c r="L184" s="1867" t="s">
        <v>323</v>
      </c>
      <c r="M184" s="349"/>
      <c r="N184" s="342"/>
      <c r="O184" s="1632"/>
      <c r="P184" s="1632"/>
      <c r="AH184" s="1639">
        <v>0</v>
      </c>
    </row>
    <row s="1643" customFormat="1" customHeight="1" ht="18.75" hidden="1">
      <c r="A185" s="1787"/>
      <c r="B185" s="1787"/>
      <c r="C185" s="377" t="s">
        <v>1353</v>
      </c>
      <c r="D185" s="2483"/>
      <c r="E185" s="2225"/>
      <c r="F185" s="2404"/>
      <c r="G185" s="2448"/>
      <c r="H185" s="1508"/>
      <c r="I185" s="659" t="s">
        <v>1352</v>
      </c>
      <c r="J185" s="579"/>
      <c r="K185" s="1508"/>
      <c r="L185" s="222"/>
      <c r="M185" s="349"/>
      <c r="N185" s="342"/>
      <c r="O185" s="1632"/>
      <c r="P185" s="1632"/>
      <c r="AH185" s="1639">
        <v>0</v>
      </c>
    </row>
    <row s="1643" customFormat="1" customHeight="1" ht="0.75" hidden="1">
      <c r="A186" s="1787"/>
      <c r="B186" s="1787"/>
      <c r="C186" s="377" t="s">
        <v>1360</v>
      </c>
      <c r="D186" s="2483"/>
      <c r="E186" s="2225"/>
      <c r="F186" s="2404"/>
      <c r="G186" s="408"/>
      <c r="H186" s="1508"/>
      <c r="I186" s="659"/>
      <c r="J186" s="579"/>
      <c r="K186" s="1508"/>
      <c r="L186" s="222"/>
      <c r="M186" s="349"/>
      <c r="N186" s="342"/>
      <c r="O186" s="1632"/>
      <c r="P186" s="1632"/>
      <c r="AH186" s="1639">
        <v>0</v>
      </c>
    </row>
    <row s="1643" customFormat="1" customHeight="1" ht="18.75" hidden="1">
      <c r="A187" s="1787" t="s">
        <v>262</v>
      </c>
      <c r="B187" s="1787" t="s">
        <v>263</v>
      </c>
      <c r="C187" s="377"/>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7"/>
      <c r="I187" s="1746"/>
      <c r="J187" s="1780"/>
      <c r="K187" s="1785"/>
      <c r="L187" s="1867" t="s">
        <v>323</v>
      </c>
      <c r="M187" s="349"/>
      <c r="N187" s="342"/>
      <c r="O187" s="1632"/>
      <c r="P187" s="1632"/>
      <c r="AH187" s="1639">
        <v>0</v>
      </c>
    </row>
    <row s="1643" customFormat="1" customHeight="1" ht="18.75" hidden="1">
      <c r="A188" s="1787"/>
      <c r="B188" s="1787"/>
      <c r="C188" s="377" t="s">
        <v>1353</v>
      </c>
      <c r="D188" s="2483"/>
      <c r="E188" s="2225"/>
      <c r="F188" s="2404"/>
      <c r="G188" s="2448"/>
      <c r="H188" s="1508"/>
      <c r="I188" s="659" t="s">
        <v>1352</v>
      </c>
      <c r="J188" s="579"/>
      <c r="K188" s="1508"/>
      <c r="L188" s="222"/>
      <c r="M188" s="349"/>
      <c r="N188" s="342"/>
      <c r="O188" s="1632"/>
      <c r="P188" s="1632"/>
      <c r="AH188" s="1639">
        <v>0</v>
      </c>
    </row>
    <row s="1643" customFormat="1" customHeight="1" ht="0.75" hidden="1">
      <c r="A189" s="1787"/>
      <c r="B189" s="1787"/>
      <c r="C189" s="377" t="s">
        <v>1360</v>
      </c>
      <c r="D189" s="2483"/>
      <c r="E189" s="2225"/>
      <c r="F189" s="2404"/>
      <c r="G189" s="408"/>
      <c r="H189" s="1508"/>
      <c r="I189" s="659"/>
      <c r="J189" s="579"/>
      <c r="K189" s="1508"/>
      <c r="L189" s="222"/>
      <c r="M189" s="349"/>
      <c r="N189" s="342"/>
      <c r="O189" s="1632"/>
      <c r="P189" s="1632"/>
      <c r="AH189" s="1639">
        <v>0</v>
      </c>
    </row>
    <row s="1643" customFormat="1" customHeight="1" ht="18.75" hidden="1">
      <c r="A190" s="1787" t="s">
        <v>267</v>
      </c>
      <c r="B190" s="1787" t="s">
        <v>268</v>
      </c>
      <c r="C190" s="377"/>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7"/>
      <c r="I190" s="1746"/>
      <c r="J190" s="1780"/>
      <c r="K190" s="1785"/>
      <c r="L190" s="1867" t="s">
        <v>323</v>
      </c>
      <c r="M190" s="349"/>
      <c r="N190" s="342"/>
      <c r="O190" s="1632"/>
      <c r="P190" s="1632"/>
      <c r="AH190" s="1639">
        <v>0</v>
      </c>
    </row>
    <row s="1643" customFormat="1" customHeight="1" ht="18.75" hidden="1">
      <c r="A191" s="1787"/>
      <c r="B191" s="1787"/>
      <c r="C191" s="377" t="s">
        <v>1353</v>
      </c>
      <c r="D191" s="2483"/>
      <c r="E191" s="2225"/>
      <c r="F191" s="2404"/>
      <c r="G191" s="2448"/>
      <c r="H191" s="1508"/>
      <c r="I191" s="659" t="s">
        <v>1352</v>
      </c>
      <c r="J191" s="579"/>
      <c r="K191" s="1508"/>
      <c r="L191" s="222"/>
      <c r="M191" s="349"/>
      <c r="N191" s="342"/>
      <c r="O191" s="1632"/>
      <c r="P191" s="1632"/>
      <c r="AH191" s="1639">
        <v>0</v>
      </c>
    </row>
    <row s="1643" customFormat="1" customHeight="1" ht="0.75" hidden="1">
      <c r="A192" s="1787"/>
      <c r="B192" s="1787"/>
      <c r="C192" s="377" t="s">
        <v>1360</v>
      </c>
      <c r="D192" s="2483"/>
      <c r="E192" s="2225"/>
      <c r="F192" s="2404"/>
      <c r="G192" s="408"/>
      <c r="H192" s="1508"/>
      <c r="I192" s="659"/>
      <c r="J192" s="579"/>
      <c r="K192" s="1508"/>
      <c r="L192" s="222"/>
      <c r="M192" s="349"/>
      <c r="N192" s="342"/>
      <c r="O192" s="1632"/>
      <c r="P192" s="1632"/>
      <c r="AH192" s="1639">
        <v>0</v>
      </c>
    </row>
    <row s="1643" customFormat="1" customHeight="1" ht="18.75" hidden="1">
      <c r="A193" s="1787" t="s">
        <v>272</v>
      </c>
      <c r="B193" s="1787" t="s">
        <v>273</v>
      </c>
      <c r="C193" s="377"/>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7"/>
      <c r="I193" s="1746"/>
      <c r="J193" s="1780"/>
      <c r="K193" s="1785"/>
      <c r="L193" s="1867" t="s">
        <v>323</v>
      </c>
      <c r="M193" s="349"/>
      <c r="N193" s="342"/>
      <c r="O193" s="1632"/>
      <c r="P193" s="1632"/>
      <c r="AH193" s="1639">
        <v>0</v>
      </c>
    </row>
    <row s="1643" customFormat="1" customHeight="1" ht="18.75" hidden="1">
      <c r="A194" s="1787"/>
      <c r="B194" s="1787"/>
      <c r="C194" s="377" t="s">
        <v>1353</v>
      </c>
      <c r="D194" s="2483"/>
      <c r="E194" s="2225"/>
      <c r="F194" s="2404"/>
      <c r="G194" s="2448"/>
      <c r="H194" s="1508"/>
      <c r="I194" s="659" t="s">
        <v>1352</v>
      </c>
      <c r="J194" s="579"/>
      <c r="K194" s="1508"/>
      <c r="L194" s="222"/>
      <c r="M194" s="349"/>
      <c r="N194" s="342"/>
      <c r="O194" s="1632"/>
      <c r="P194" s="1632"/>
      <c r="AH194" s="1639">
        <v>0</v>
      </c>
    </row>
    <row s="1643" customFormat="1" customHeight="1" ht="0.75" hidden="1">
      <c r="A195" s="1787"/>
      <c r="B195" s="1787"/>
      <c r="C195" s="377" t="s">
        <v>1360</v>
      </c>
      <c r="D195" s="2483"/>
      <c r="E195" s="2225"/>
      <c r="F195" s="2404"/>
      <c r="G195" s="408"/>
      <c r="H195" s="1508"/>
      <c r="I195" s="659"/>
      <c r="J195" s="579"/>
      <c r="K195" s="1508"/>
      <c r="L195" s="222"/>
      <c r="M195" s="349"/>
      <c r="N195" s="342"/>
      <c r="O195" s="1632"/>
      <c r="P195" s="1632"/>
      <c r="AH195" s="1639">
        <v>0</v>
      </c>
    </row>
    <row s="1643" customFormat="1" customHeight="1" ht="18.75" hidden="1">
      <c r="A196" s="1787" t="s">
        <v>277</v>
      </c>
      <c r="B196" s="1787" t="s">
        <v>278</v>
      </c>
      <c r="C196" s="377"/>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7"/>
      <c r="I196" s="1746"/>
      <c r="J196" s="1780"/>
      <c r="K196" s="1785"/>
      <c r="L196" s="1867" t="s">
        <v>323</v>
      </c>
      <c r="M196" s="349"/>
      <c r="N196" s="342"/>
      <c r="O196" s="1632"/>
      <c r="P196" s="1632"/>
      <c r="AH196" s="1639">
        <v>0</v>
      </c>
    </row>
    <row s="1643" customFormat="1" customHeight="1" ht="18.75" hidden="1">
      <c r="A197" s="1787"/>
      <c r="B197" s="1787"/>
      <c r="C197" s="377" t="s">
        <v>1353</v>
      </c>
      <c r="D197" s="2483"/>
      <c r="E197" s="2225"/>
      <c r="F197" s="2404"/>
      <c r="G197" s="2448"/>
      <c r="H197" s="1508"/>
      <c r="I197" s="659" t="s">
        <v>1352</v>
      </c>
      <c r="J197" s="579"/>
      <c r="K197" s="1508"/>
      <c r="L197" s="222"/>
      <c r="M197" s="349"/>
      <c r="N197" s="342"/>
      <c r="O197" s="1632"/>
      <c r="P197" s="1632"/>
      <c r="AH197" s="1639">
        <v>0</v>
      </c>
    </row>
    <row s="1643" customFormat="1" customHeight="1" ht="0.75" hidden="1">
      <c r="A198" s="1787"/>
      <c r="B198" s="1787"/>
      <c r="C198" s="377" t="s">
        <v>1360</v>
      </c>
      <c r="D198" s="2483"/>
      <c r="E198" s="2225"/>
      <c r="F198" s="2404"/>
      <c r="G198" s="408"/>
      <c r="H198" s="1508"/>
      <c r="I198" s="659"/>
      <c r="J198" s="579"/>
      <c r="K198" s="1508"/>
      <c r="L198" s="222"/>
      <c r="M198" s="349"/>
      <c r="N198" s="342"/>
      <c r="O198" s="1632"/>
      <c r="P198" s="1632"/>
      <c r="AH198" s="1639">
        <v>0</v>
      </c>
    </row>
    <row s="1643" customFormat="1" customHeight="1" ht="18.75" hidden="1">
      <c r="A199" s="1787" t="s">
        <v>282</v>
      </c>
      <c r="B199" s="1787" t="s">
        <v>283</v>
      </c>
      <c r="C199" s="377"/>
      <c r="D199" s="2483"/>
      <c r="E199" s="2225"/>
      <c r="F199" s="2404" t="str">
        <f>INDEX(PT_DIFFERENTIATION_VTAR,MATCH(A199,PT_DIFFERENTIATION_VTAR_ID,0))</f>
        <v>Тариф на водоотведение</v>
      </c>
      <c r="G199" s="2448" t="str">
        <f>INDEX(PT_DIFFERENTIATION_NTAR,MATCH(B199,PT_DIFFERENTIATION_NTAR_ID,0))</f>
        <v/>
      </c>
      <c r="H199" s="1867"/>
      <c r="I199" s="1746"/>
      <c r="J199" s="1780"/>
      <c r="K199" s="1785"/>
      <c r="L199" s="1867" t="s">
        <v>323</v>
      </c>
      <c r="M199" s="349"/>
      <c r="N199" s="342"/>
      <c r="O199" s="1632"/>
      <c r="P199" s="1632"/>
      <c r="AH199" s="1639">
        <v>0</v>
      </c>
    </row>
    <row s="1643" customFormat="1" customHeight="1" ht="18.75" hidden="1">
      <c r="A200" s="1787"/>
      <c r="B200" s="1787"/>
      <c r="C200" s="377" t="s">
        <v>1353</v>
      </c>
      <c r="D200" s="2483"/>
      <c r="E200" s="2225"/>
      <c r="F200" s="2404"/>
      <c r="G200" s="2448"/>
      <c r="H200" s="1508"/>
      <c r="I200" s="659" t="s">
        <v>1352</v>
      </c>
      <c r="J200" s="579"/>
      <c r="K200" s="1508"/>
      <c r="L200" s="222"/>
      <c r="M200" s="349"/>
      <c r="N200" s="342"/>
      <c r="O200" s="1632"/>
      <c r="P200" s="1632"/>
      <c r="AH200" s="1639">
        <v>0</v>
      </c>
    </row>
    <row s="1643" customFormat="1" customHeight="1" ht="0.75" hidden="1">
      <c r="A201" s="1787"/>
      <c r="B201" s="1787"/>
      <c r="C201" s="377" t="s">
        <v>1360</v>
      </c>
      <c r="D201" s="2483"/>
      <c r="E201" s="2225"/>
      <c r="F201" s="2404"/>
      <c r="G201" s="408"/>
      <c r="H201" s="1508"/>
      <c r="I201" s="659"/>
      <c r="J201" s="579"/>
      <c r="K201" s="1508"/>
      <c r="L201" s="222"/>
      <c r="M201" s="349"/>
      <c r="N201" s="342"/>
      <c r="O201" s="1632"/>
      <c r="P201" s="1632"/>
      <c r="AH201" s="1639">
        <v>0</v>
      </c>
    </row>
    <row s="1643" customFormat="1" customHeight="1" ht="18.75" hidden="1">
      <c r="A202" s="1787" t="s">
        <v>287</v>
      </c>
      <c r="B202" s="1787" t="s">
        <v>288</v>
      </c>
      <c r="C202" s="377"/>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7"/>
      <c r="I202" s="1746"/>
      <c r="J202" s="1780"/>
      <c r="K202" s="1785"/>
      <c r="L202" s="1867" t="s">
        <v>323</v>
      </c>
      <c r="M202" s="349"/>
      <c r="N202" s="342"/>
      <c r="O202" s="1632"/>
      <c r="P202" s="1632"/>
      <c r="AH202" s="1639">
        <v>0</v>
      </c>
    </row>
    <row s="1643" customFormat="1" customHeight="1" ht="18.75" hidden="1">
      <c r="A203" s="1787"/>
      <c r="B203" s="1787"/>
      <c r="C203" s="377" t="s">
        <v>1353</v>
      </c>
      <c r="D203" s="2483"/>
      <c r="E203" s="2225"/>
      <c r="F203" s="2404"/>
      <c r="G203" s="2448"/>
      <c r="H203" s="1508"/>
      <c r="I203" s="659" t="s">
        <v>1352</v>
      </c>
      <c r="J203" s="579"/>
      <c r="K203" s="1508"/>
      <c r="L203" s="222"/>
      <c r="M203" s="349"/>
      <c r="N203" s="342"/>
      <c r="O203" s="1632"/>
      <c r="P203" s="1632"/>
      <c r="AH203" s="1639">
        <v>0</v>
      </c>
    </row>
    <row s="1643" customFormat="1" customHeight="1" ht="0.75" hidden="1">
      <c r="A204" s="1787"/>
      <c r="B204" s="1787"/>
      <c r="C204" s="377" t="s">
        <v>1360</v>
      </c>
      <c r="D204" s="2483"/>
      <c r="E204" s="2225"/>
      <c r="F204" s="2404"/>
      <c r="G204" s="408"/>
      <c r="H204" s="1508"/>
      <c r="I204" s="659"/>
      <c r="J204" s="579"/>
      <c r="K204" s="1508"/>
      <c r="L204" s="222"/>
      <c r="M204" s="349"/>
      <c r="N204" s="342"/>
      <c r="O204" s="1632"/>
      <c r="P204" s="1632"/>
      <c r="AH204" s="1639">
        <v>0</v>
      </c>
    </row>
    <row s="1643" customFormat="1" customHeight="1" ht="18.75" hidden="1">
      <c r="A205" s="1787" t="s">
        <v>292</v>
      </c>
      <c r="B205" s="1787" t="s">
        <v>293</v>
      </c>
      <c r="C205" s="377"/>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7"/>
      <c r="I205" s="1746"/>
      <c r="J205" s="1780"/>
      <c r="K205" s="1785"/>
      <c r="L205" s="1867" t="s">
        <v>323</v>
      </c>
      <c r="M205" s="349"/>
      <c r="N205" s="342"/>
      <c r="O205" s="1632"/>
      <c r="P205" s="1632"/>
      <c r="AH205" s="1639">
        <v>0</v>
      </c>
    </row>
    <row s="1643" customFormat="1" customHeight="1" ht="18.75" hidden="1">
      <c r="A206" s="1787"/>
      <c r="B206" s="1787"/>
      <c r="C206" s="377" t="s">
        <v>1353</v>
      </c>
      <c r="D206" s="2483"/>
      <c r="E206" s="2225"/>
      <c r="F206" s="2404"/>
      <c r="G206" s="2448"/>
      <c r="H206" s="1508"/>
      <c r="I206" s="659" t="s">
        <v>1352</v>
      </c>
      <c r="J206" s="579"/>
      <c r="K206" s="1508"/>
      <c r="L206" s="222"/>
      <c r="M206" s="349"/>
      <c r="N206" s="342"/>
      <c r="O206" s="1632"/>
      <c r="P206" s="1632"/>
      <c r="AH206" s="1639">
        <v>0</v>
      </c>
    </row>
    <row s="1643" customFormat="1" customHeight="1" ht="1.05">
      <c r="A207" s="1787"/>
      <c r="B207" s="1787"/>
      <c r="C207" s="377" t="s">
        <v>1360</v>
      </c>
      <c r="D207" s="2483"/>
      <c r="E207" s="2225"/>
      <c r="F207" s="2404"/>
      <c r="G207" s="408"/>
      <c r="H207" s="1508"/>
      <c r="I207" s="659"/>
      <c r="J207" s="579"/>
      <c r="K207" s="1508"/>
      <c r="L207" s="222"/>
      <c r="M207" s="349"/>
      <c r="N207" s="342"/>
      <c r="O207" s="1632"/>
      <c r="P207" s="1632"/>
      <c r="AH207" s="1639">
        <v>1</v>
      </c>
    </row>
    <row customHeight="1" ht="27.299999999999997">
      <c r="A208" s="1787"/>
      <c r="B208" s="1787"/>
      <c r="D208" s="384"/>
      <c r="E208" s="155" t="s">
        <v>119</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1"/>
      <c r="H208" s="2481"/>
      <c r="I208" s="2481"/>
      <c r="J208" s="2481"/>
      <c r="K208" s="2481"/>
      <c r="L208" s="2481"/>
      <c r="M208" s="305"/>
      <c r="N208" s="342"/>
      <c r="AH208" s="382">
        <v>26</v>
      </c>
    </row>
    <row s="1643" customFormat="1" customHeight="1" ht="60.75" hidden="1">
      <c r="A209" s="1787" t="s">
        <v>174</v>
      </c>
      <c r="B209" s="1787" t="s">
        <v>175</v>
      </c>
      <c r="C209" s="377"/>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7"/>
      <c r="I209" s="1746"/>
      <c r="J209" s="1780"/>
      <c r="K209" s="1785"/>
      <c r="L209" s="1867" t="s">
        <v>323</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7"/>
      <c r="B210" s="1787"/>
      <c r="C210" s="377" t="s">
        <v>1353</v>
      </c>
      <c r="D210" s="2483"/>
      <c r="E210" s="2225"/>
      <c r="F210" s="2404"/>
      <c r="G210" s="2448"/>
      <c r="H210" s="1508"/>
      <c r="I210" s="659" t="s">
        <v>1352</v>
      </c>
      <c r="J210" s="579"/>
      <c r="K210" s="1508"/>
      <c r="L210" s="222"/>
      <c r="M210" s="2191"/>
      <c r="N210" s="342"/>
      <c r="O210" s="1632"/>
      <c r="P210" s="1632"/>
      <c r="AH210" s="1639">
        <v>0</v>
      </c>
    </row>
    <row s="1643" customFormat="1" customHeight="1" ht="0.75" hidden="1">
      <c r="A211" s="1787"/>
      <c r="B211" s="1787"/>
      <c r="C211" s="377" t="s">
        <v>1360</v>
      </c>
      <c r="D211" s="2483"/>
      <c r="E211" s="2225"/>
      <c r="F211" s="2404"/>
      <c r="G211" s="408"/>
      <c r="H211" s="1508"/>
      <c r="I211" s="659"/>
      <c r="J211" s="579"/>
      <c r="K211" s="1508"/>
      <c r="L211" s="222"/>
      <c r="M211" s="2191"/>
      <c r="N211" s="342"/>
      <c r="O211" s="1632"/>
      <c r="P211" s="1632"/>
      <c r="AH211" s="1639">
        <v>0</v>
      </c>
    </row>
    <row s="1643" customFormat="1" customHeight="1" ht="45" hidden="1">
      <c r="A212" s="1787" t="s">
        <v>179</v>
      </c>
      <c r="B212" s="1787" t="s">
        <v>180</v>
      </c>
      <c r="C212" s="377"/>
      <c r="D212" s="2483"/>
      <c r="E212" s="2225"/>
      <c r="F212" s="2404" t="str">
        <f>INDEX(PT_DIFFERENTIATION_VTAR,MATCH(A212,PT_DIFFERENTIATION_VTAR_ID,0))</f>
        <v/>
      </c>
      <c r="G212" s="2448" t="str">
        <f>INDEX(PT_DIFFERENTIATION_NTAR,MATCH(B212,PT_DIFFERENTIATION_NTAR_ID,0))</f>
        <v/>
      </c>
      <c r="H212" s="1867"/>
      <c r="I212" s="1746"/>
      <c r="J212" s="1780"/>
      <c r="K212" s="1785"/>
      <c r="L212" s="1867" t="s">
        <v>323</v>
      </c>
      <c r="M212" s="2192"/>
      <c r="N212" s="342"/>
      <c r="O212" s="1632"/>
      <c r="P212" s="1632"/>
      <c r="AH212" s="1639">
        <v>0</v>
      </c>
    </row>
    <row s="1643" customFormat="1" customHeight="1" ht="18.75" hidden="1">
      <c r="A213" s="1787"/>
      <c r="B213" s="1787"/>
      <c r="C213" s="377" t="s">
        <v>1353</v>
      </c>
      <c r="D213" s="2483"/>
      <c r="E213" s="2225"/>
      <c r="F213" s="2404"/>
      <c r="G213" s="2448"/>
      <c r="H213" s="1508"/>
      <c r="I213" s="659" t="s">
        <v>1352</v>
      </c>
      <c r="J213" s="579"/>
      <c r="K213" s="1508"/>
      <c r="L213" s="222"/>
      <c r="M213" s="1866"/>
      <c r="N213" s="342"/>
      <c r="O213" s="1632"/>
      <c r="P213" s="1632"/>
      <c r="AH213" s="1639">
        <v>0</v>
      </c>
    </row>
    <row s="1643" customFormat="1" customHeight="1" ht="0.75" hidden="1">
      <c r="A214" s="1787"/>
      <c r="B214" s="1787"/>
      <c r="C214" s="377" t="s">
        <v>1360</v>
      </c>
      <c r="D214" s="2483"/>
      <c r="E214" s="2225"/>
      <c r="F214" s="2404"/>
      <c r="G214" s="408"/>
      <c r="H214" s="1508"/>
      <c r="I214" s="659"/>
      <c r="J214" s="579"/>
      <c r="K214" s="1508"/>
      <c r="L214" s="222"/>
      <c r="M214" s="349"/>
      <c r="N214" s="342"/>
      <c r="O214" s="1632"/>
      <c r="P214" s="1632"/>
      <c r="AH214" s="1639">
        <v>0</v>
      </c>
    </row>
    <row s="1643" customFormat="1" customHeight="1" ht="45" hidden="1">
      <c r="A215" s="1787" t="s">
        <v>186</v>
      </c>
      <c r="B215" s="1787" t="s">
        <v>187</v>
      </c>
      <c r="C215" s="377"/>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7"/>
      <c r="I215" s="1746"/>
      <c r="J215" s="1780"/>
      <c r="K215" s="1785"/>
      <c r="L215" s="1867" t="s">
        <v>323</v>
      </c>
      <c r="M215" s="349"/>
      <c r="N215" s="342"/>
      <c r="O215" s="1632"/>
      <c r="P215" s="1632"/>
      <c r="AH215" s="1639">
        <v>0</v>
      </c>
    </row>
    <row s="1643" customFormat="1" customHeight="1" ht="18.75" hidden="1">
      <c r="A216" s="1787"/>
      <c r="B216" s="1787"/>
      <c r="C216" s="377" t="s">
        <v>1353</v>
      </c>
      <c r="D216" s="2483"/>
      <c r="E216" s="2225"/>
      <c r="F216" s="2404"/>
      <c r="G216" s="2448"/>
      <c r="H216" s="1508"/>
      <c r="I216" s="659" t="s">
        <v>1352</v>
      </c>
      <c r="J216" s="579"/>
      <c r="K216" s="1508"/>
      <c r="L216" s="222"/>
      <c r="M216" s="349"/>
      <c r="N216" s="342"/>
      <c r="O216" s="1632"/>
      <c r="P216" s="1632"/>
      <c r="AH216" s="1639">
        <v>0</v>
      </c>
    </row>
    <row s="1643" customFormat="1" customHeight="1" ht="0.75" hidden="1">
      <c r="A217" s="1787"/>
      <c r="B217" s="1787"/>
      <c r="C217" s="377" t="s">
        <v>1360</v>
      </c>
      <c r="D217" s="2483"/>
      <c r="E217" s="2225"/>
      <c r="F217" s="2404"/>
      <c r="G217" s="408"/>
      <c r="H217" s="1508"/>
      <c r="I217" s="659"/>
      <c r="J217" s="579"/>
      <c r="K217" s="1508"/>
      <c r="L217" s="222"/>
      <c r="M217" s="349"/>
      <c r="N217" s="342"/>
      <c r="O217" s="1632"/>
      <c r="P217" s="1632"/>
      <c r="AH217" s="1639">
        <v>0</v>
      </c>
    </row>
    <row s="1643" customFormat="1" customHeight="1" ht="45" hidden="1">
      <c r="A218" s="1787" t="s">
        <v>192</v>
      </c>
      <c r="B218" s="1787" t="s">
        <v>193</v>
      </c>
      <c r="C218" s="377"/>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7"/>
      <c r="I218" s="1746"/>
      <c r="J218" s="1780"/>
      <c r="K218" s="1785"/>
      <c r="L218" s="1867" t="s">
        <v>323</v>
      </c>
      <c r="M218" s="349"/>
      <c r="N218" s="342"/>
      <c r="O218" s="1632"/>
      <c r="P218" s="1632"/>
      <c r="AH218" s="1639">
        <v>0</v>
      </c>
    </row>
    <row s="1643" customFormat="1" customHeight="1" ht="18.75" hidden="1">
      <c r="A219" s="1787"/>
      <c r="B219" s="1787"/>
      <c r="C219" s="377" t="s">
        <v>1353</v>
      </c>
      <c r="D219" s="2483"/>
      <c r="E219" s="2225"/>
      <c r="F219" s="2404"/>
      <c r="G219" s="2448"/>
      <c r="H219" s="1508"/>
      <c r="I219" s="659" t="s">
        <v>1352</v>
      </c>
      <c r="J219" s="579"/>
      <c r="K219" s="1508"/>
      <c r="L219" s="222"/>
      <c r="M219" s="349"/>
      <c r="N219" s="342"/>
      <c r="O219" s="1632"/>
      <c r="P219" s="1632"/>
      <c r="AH219" s="1639">
        <v>0</v>
      </c>
    </row>
    <row s="1643" customFormat="1" customHeight="1" ht="0.75" hidden="1">
      <c r="A220" s="1787"/>
      <c r="B220" s="1787"/>
      <c r="C220" s="377" t="s">
        <v>1360</v>
      </c>
      <c r="D220" s="2483"/>
      <c r="E220" s="2225"/>
      <c r="F220" s="2404"/>
      <c r="G220" s="408"/>
      <c r="H220" s="1508"/>
      <c r="I220" s="659"/>
      <c r="J220" s="579"/>
      <c r="K220" s="1508"/>
      <c r="L220" s="222"/>
      <c r="M220" s="349"/>
      <c r="N220" s="342"/>
      <c r="O220" s="1632"/>
      <c r="P220" s="1632"/>
      <c r="AH220" s="1639">
        <v>0</v>
      </c>
    </row>
    <row s="1643" customFormat="1" customHeight="1" ht="18.75" hidden="1">
      <c r="A221" s="1787" t="s">
        <v>198</v>
      </c>
      <c r="B221" s="1787" t="s">
        <v>199</v>
      </c>
      <c r="C221" s="377"/>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7"/>
      <c r="I221" s="1746"/>
      <c r="J221" s="1780"/>
      <c r="K221" s="1785"/>
      <c r="L221" s="1867" t="s">
        <v>323</v>
      </c>
      <c r="M221" s="349"/>
      <c r="N221" s="342"/>
      <c r="O221" s="1632"/>
      <c r="P221" s="1632"/>
      <c r="AH221" s="1639">
        <v>0</v>
      </c>
    </row>
    <row s="1643" customFormat="1" customHeight="1" ht="18.75" hidden="1">
      <c r="A222" s="1787"/>
      <c r="B222" s="1787"/>
      <c r="C222" s="377" t="s">
        <v>1353</v>
      </c>
      <c r="D222" s="2483"/>
      <c r="E222" s="2225"/>
      <c r="F222" s="2404"/>
      <c r="G222" s="2448"/>
      <c r="H222" s="1508"/>
      <c r="I222" s="659" t="s">
        <v>1352</v>
      </c>
      <c r="J222" s="579"/>
      <c r="K222" s="1508"/>
      <c r="L222" s="222"/>
      <c r="M222" s="349"/>
      <c r="N222" s="342"/>
      <c r="O222" s="1632"/>
      <c r="P222" s="1632"/>
      <c r="AH222" s="1639">
        <v>0</v>
      </c>
    </row>
    <row s="1643" customFormat="1" customHeight="1" ht="0.75" hidden="1">
      <c r="A223" s="1787"/>
      <c r="B223" s="1787"/>
      <c r="C223" s="377" t="s">
        <v>1360</v>
      </c>
      <c r="D223" s="2483"/>
      <c r="E223" s="2225"/>
      <c r="F223" s="2404"/>
      <c r="G223" s="408"/>
      <c r="H223" s="1508"/>
      <c r="I223" s="659"/>
      <c r="J223" s="579"/>
      <c r="K223" s="1508"/>
      <c r="L223" s="222"/>
      <c r="M223" s="349"/>
      <c r="N223" s="342"/>
      <c r="O223" s="1632"/>
      <c r="P223" s="1632"/>
      <c r="AH223" s="1639">
        <v>0</v>
      </c>
    </row>
    <row s="1643" customFormat="1" customHeight="1" ht="18.75" hidden="1">
      <c r="A224" s="1787" t="s">
        <v>204</v>
      </c>
      <c r="B224" s="1787" t="s">
        <v>205</v>
      </c>
      <c r="C224" s="377"/>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7"/>
      <c r="I224" s="1746"/>
      <c r="J224" s="1780"/>
      <c r="K224" s="1785"/>
      <c r="L224" s="1867" t="s">
        <v>323</v>
      </c>
      <c r="M224" s="349"/>
      <c r="N224" s="342"/>
      <c r="O224" s="1632"/>
      <c r="P224" s="1632"/>
      <c r="AH224" s="1639">
        <v>0</v>
      </c>
    </row>
    <row s="1643" customFormat="1" customHeight="1" ht="18.75" hidden="1">
      <c r="A225" s="1787"/>
      <c r="B225" s="1787"/>
      <c r="C225" s="377" t="s">
        <v>1353</v>
      </c>
      <c r="D225" s="2483"/>
      <c r="E225" s="2225"/>
      <c r="F225" s="2404"/>
      <c r="G225" s="2448"/>
      <c r="H225" s="1508"/>
      <c r="I225" s="659" t="s">
        <v>1352</v>
      </c>
      <c r="J225" s="579"/>
      <c r="K225" s="1508"/>
      <c r="L225" s="222"/>
      <c r="M225" s="349"/>
      <c r="N225" s="342"/>
      <c r="O225" s="1632"/>
      <c r="P225" s="1632"/>
      <c r="AH225" s="1639">
        <v>0</v>
      </c>
    </row>
    <row s="1643" customFormat="1" customHeight="1" ht="0.75" hidden="1">
      <c r="A226" s="1787"/>
      <c r="B226" s="1787"/>
      <c r="C226" s="377" t="s">
        <v>1360</v>
      </c>
      <c r="D226" s="2483"/>
      <c r="E226" s="2225"/>
      <c r="F226" s="2404"/>
      <c r="G226" s="408"/>
      <c r="H226" s="1508"/>
      <c r="I226" s="659"/>
      <c r="J226" s="579"/>
      <c r="K226" s="1508"/>
      <c r="L226" s="222"/>
      <c r="M226" s="349"/>
      <c r="N226" s="342"/>
      <c r="O226" s="1632"/>
      <c r="P226" s="1632"/>
      <c r="AH226" s="1639">
        <v>0</v>
      </c>
    </row>
    <row s="1643" customFormat="1" customHeight="1" ht="18.75" hidden="1">
      <c r="A227" s="1787" t="s">
        <v>210</v>
      </c>
      <c r="B227" s="1787" t="s">
        <v>211</v>
      </c>
      <c r="C227" s="377"/>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7"/>
      <c r="I227" s="1746"/>
      <c r="J227" s="1780"/>
      <c r="K227" s="1785"/>
      <c r="L227" s="1867" t="s">
        <v>323</v>
      </c>
      <c r="M227" s="349"/>
      <c r="N227" s="342"/>
      <c r="O227" s="1632"/>
      <c r="P227" s="1632"/>
      <c r="AH227" s="1639">
        <v>0</v>
      </c>
    </row>
    <row s="1643" customFormat="1" customHeight="1" ht="18.75" hidden="1">
      <c r="A228" s="1787"/>
      <c r="B228" s="1787"/>
      <c r="C228" s="377" t="s">
        <v>1353</v>
      </c>
      <c r="D228" s="2483"/>
      <c r="E228" s="2225"/>
      <c r="F228" s="2404"/>
      <c r="G228" s="2448"/>
      <c r="H228" s="1508"/>
      <c r="I228" s="659" t="s">
        <v>1352</v>
      </c>
      <c r="J228" s="579"/>
      <c r="K228" s="1508"/>
      <c r="L228" s="222"/>
      <c r="M228" s="349"/>
      <c r="N228" s="342"/>
      <c r="O228" s="1632"/>
      <c r="P228" s="1632"/>
      <c r="AH228" s="1639">
        <v>0</v>
      </c>
    </row>
    <row s="1643" customFormat="1" customHeight="1" ht="0.75" hidden="1">
      <c r="A229" s="1787"/>
      <c r="B229" s="1787"/>
      <c r="C229" s="377" t="s">
        <v>1360</v>
      </c>
      <c r="D229" s="2483"/>
      <c r="E229" s="2225"/>
      <c r="F229" s="2404"/>
      <c r="G229" s="408"/>
      <c r="H229" s="1508"/>
      <c r="I229" s="659"/>
      <c r="J229" s="579"/>
      <c r="K229" s="1508"/>
      <c r="L229" s="222"/>
      <c r="M229" s="349"/>
      <c r="N229" s="342"/>
      <c r="O229" s="1632"/>
      <c r="P229" s="1632"/>
      <c r="AH229" s="1639">
        <v>0</v>
      </c>
    </row>
    <row s="1643" customFormat="1" customHeight="1" ht="18.75" hidden="1">
      <c r="A230" s="1787" t="s">
        <v>216</v>
      </c>
      <c r="B230" s="1787" t="s">
        <v>217</v>
      </c>
      <c r="C230" s="377"/>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7"/>
      <c r="I230" s="1746"/>
      <c r="J230" s="1780"/>
      <c r="K230" s="1785"/>
      <c r="L230" s="1867" t="s">
        <v>323</v>
      </c>
      <c r="M230" s="349"/>
      <c r="N230" s="342"/>
      <c r="O230" s="1632"/>
      <c r="P230" s="1632"/>
      <c r="AH230" s="1639">
        <v>0</v>
      </c>
    </row>
    <row s="1643" customFormat="1" customHeight="1" ht="18.75" hidden="1">
      <c r="A231" s="1787"/>
      <c r="B231" s="1787"/>
      <c r="C231" s="377" t="s">
        <v>1353</v>
      </c>
      <c r="D231" s="2483"/>
      <c r="E231" s="2225"/>
      <c r="F231" s="2404"/>
      <c r="G231" s="2448"/>
      <c r="H231" s="1508"/>
      <c r="I231" s="659" t="s">
        <v>1352</v>
      </c>
      <c r="J231" s="579"/>
      <c r="K231" s="1508"/>
      <c r="L231" s="222"/>
      <c r="M231" s="349"/>
      <c r="N231" s="342"/>
      <c r="O231" s="1632"/>
      <c r="P231" s="1632"/>
      <c r="AH231" s="1639">
        <v>0</v>
      </c>
    </row>
    <row s="1643" customFormat="1" customHeight="1" ht="0.75" hidden="1">
      <c r="A232" s="1787"/>
      <c r="B232" s="1787"/>
      <c r="C232" s="377" t="s">
        <v>1360</v>
      </c>
      <c r="D232" s="2483"/>
      <c r="E232" s="2225"/>
      <c r="F232" s="2404"/>
      <c r="G232" s="408"/>
      <c r="H232" s="1508"/>
      <c r="I232" s="659"/>
      <c r="J232" s="579"/>
      <c r="K232" s="1508"/>
      <c r="L232" s="222"/>
      <c r="M232" s="349"/>
      <c r="N232" s="342"/>
      <c r="O232" s="1632"/>
      <c r="P232" s="1632"/>
      <c r="AH232" s="1639">
        <v>0</v>
      </c>
    </row>
    <row s="1643" customFormat="1" customHeight="1" ht="18.75" hidden="1">
      <c r="A233" s="1787" t="s">
        <v>222</v>
      </c>
      <c r="B233" s="1787" t="s">
        <v>223</v>
      </c>
      <c r="C233" s="377"/>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94"/>
      <c r="I233" s="1746"/>
      <c r="J233" s="1780"/>
      <c r="K233" s="1785"/>
      <c r="L233" s="1994" t="s">
        <v>323</v>
      </c>
      <c r="M233" s="349"/>
      <c r="N233" s="342"/>
      <c r="O233" s="1632"/>
      <c r="P233" s="1632"/>
      <c r="AH233" s="1639">
        <v>0</v>
      </c>
    </row>
    <row s="1643" customFormat="1" customHeight="1" ht="18.75" hidden="1">
      <c r="A234" s="1787"/>
      <c r="B234" s="1787"/>
      <c r="C234" s="377" t="s">
        <v>1353</v>
      </c>
      <c r="D234" s="2483"/>
      <c r="E234" s="2225"/>
      <c r="F234" s="2404"/>
      <c r="G234" s="2448"/>
      <c r="H234" s="1508"/>
      <c r="I234" s="659" t="s">
        <v>1352</v>
      </c>
      <c r="J234" s="579"/>
      <c r="K234" s="1508"/>
      <c r="L234" s="222"/>
      <c r="M234" s="349"/>
      <c r="N234" s="342"/>
      <c r="O234" s="1632"/>
      <c r="P234" s="1632"/>
      <c r="AH234" s="1639">
        <v>0</v>
      </c>
    </row>
    <row s="1643" customFormat="1" customHeight="1" ht="0.75" hidden="1">
      <c r="A235" s="1787"/>
      <c r="B235" s="1787"/>
      <c r="C235" s="377" t="s">
        <v>1360</v>
      </c>
      <c r="D235" s="2483"/>
      <c r="E235" s="2225"/>
      <c r="F235" s="2404"/>
      <c r="G235" s="408"/>
      <c r="H235" s="1508"/>
      <c r="I235" s="659"/>
      <c r="J235" s="579"/>
      <c r="K235" s="1508"/>
      <c r="L235" s="222"/>
      <c r="M235" s="349"/>
      <c r="N235" s="342"/>
      <c r="O235" s="1632"/>
      <c r="P235" s="1632"/>
      <c r="AH235" s="1639">
        <v>0</v>
      </c>
    </row>
    <row s="1643" customFormat="1" customHeight="1" ht="18.75" hidden="1">
      <c r="A236" s="1787" t="s">
        <v>242</v>
      </c>
      <c r="B236" s="1787" t="s">
        <v>243</v>
      </c>
      <c r="C236" s="377"/>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7"/>
      <c r="I236" s="1746"/>
      <c r="J236" s="1780"/>
      <c r="K236" s="1785"/>
      <c r="L236" s="1867" t="s">
        <v>323</v>
      </c>
      <c r="M236" s="349"/>
      <c r="N236" s="342"/>
      <c r="O236" s="1632"/>
      <c r="P236" s="1632"/>
      <c r="AH236" s="1639">
        <v>0</v>
      </c>
    </row>
    <row s="1643" customFormat="1" customHeight="1" ht="18.75" hidden="1">
      <c r="A237" s="1787"/>
      <c r="B237" s="1787"/>
      <c r="C237" s="377" t="s">
        <v>1353</v>
      </c>
      <c r="D237" s="2483"/>
      <c r="E237" s="2225"/>
      <c r="F237" s="2404"/>
      <c r="G237" s="2448"/>
      <c r="H237" s="1508"/>
      <c r="I237" s="659" t="s">
        <v>1352</v>
      </c>
      <c r="J237" s="579"/>
      <c r="K237" s="1508"/>
      <c r="L237" s="222"/>
      <c r="M237" s="349"/>
      <c r="N237" s="342"/>
      <c r="O237" s="1632"/>
      <c r="P237" s="1632"/>
      <c r="AH237" s="1639">
        <v>0</v>
      </c>
    </row>
    <row s="1643" customFormat="1" customHeight="1" ht="0.75" hidden="1">
      <c r="A238" s="1787"/>
      <c r="B238" s="1787"/>
      <c r="C238" s="377" t="s">
        <v>1360</v>
      </c>
      <c r="D238" s="2483"/>
      <c r="E238" s="2225"/>
      <c r="F238" s="2404"/>
      <c r="G238" s="408"/>
      <c r="H238" s="1508"/>
      <c r="I238" s="659"/>
      <c r="J238" s="579"/>
      <c r="K238" s="1508"/>
      <c r="L238" s="222"/>
      <c r="M238" s="349"/>
      <c r="N238" s="342"/>
      <c r="O238" s="1632"/>
      <c r="P238" s="1632"/>
      <c r="AH238" s="1639">
        <v>0</v>
      </c>
    </row>
    <row s="1643" customFormat="1" customHeight="1" ht="18.75" hidden="1">
      <c r="A239" s="1787" t="s">
        <v>247</v>
      </c>
      <c r="B239" s="1787" t="s">
        <v>248</v>
      </c>
      <c r="C239" s="377"/>
      <c r="D239" s="2483"/>
      <c r="E239" s="2225"/>
      <c r="F239" s="2404" t="str">
        <f>INDEX(PT_DIFFERENTIATION_VTAR,MATCH(A239,PT_DIFFERENTIATION_VTAR_ID,0))</f>
        <v>Тариф на техническую воду</v>
      </c>
      <c r="G239" s="2448" t="str">
        <f>INDEX(PT_DIFFERENTIATION_NTAR,MATCH(B239,PT_DIFFERENTIATION_NTAR_ID,0))</f>
        <v/>
      </c>
      <c r="H239" s="1867"/>
      <c r="I239" s="1746"/>
      <c r="J239" s="1780"/>
      <c r="K239" s="1785"/>
      <c r="L239" s="1867" t="s">
        <v>323</v>
      </c>
      <c r="M239" s="349"/>
      <c r="N239" s="342"/>
      <c r="O239" s="1632"/>
      <c r="P239" s="1632"/>
      <c r="AH239" s="1639">
        <v>0</v>
      </c>
    </row>
    <row s="1643" customFormat="1" customHeight="1" ht="18.75" hidden="1">
      <c r="A240" s="1787"/>
      <c r="B240" s="1787"/>
      <c r="C240" s="377" t="s">
        <v>1353</v>
      </c>
      <c r="D240" s="2483"/>
      <c r="E240" s="2225"/>
      <c r="F240" s="2404"/>
      <c r="G240" s="2448"/>
      <c r="H240" s="1508"/>
      <c r="I240" s="659" t="s">
        <v>1352</v>
      </c>
      <c r="J240" s="579"/>
      <c r="K240" s="1508"/>
      <c r="L240" s="222"/>
      <c r="M240" s="349"/>
      <c r="N240" s="342"/>
      <c r="O240" s="1632"/>
      <c r="P240" s="1632"/>
      <c r="AH240" s="1639">
        <v>0</v>
      </c>
    </row>
    <row s="1643" customFormat="1" customHeight="1" ht="0.75" hidden="1">
      <c r="A241" s="1787"/>
      <c r="B241" s="1787"/>
      <c r="C241" s="377" t="s">
        <v>1360</v>
      </c>
      <c r="D241" s="2483"/>
      <c r="E241" s="2225"/>
      <c r="F241" s="2404"/>
      <c r="G241" s="408"/>
      <c r="H241" s="1508"/>
      <c r="I241" s="659"/>
      <c r="J241" s="579"/>
      <c r="K241" s="1508"/>
      <c r="L241" s="222"/>
      <c r="M241" s="349"/>
      <c r="N241" s="342"/>
      <c r="O241" s="1632"/>
      <c r="P241" s="1632"/>
      <c r="AH241" s="1639">
        <v>0</v>
      </c>
    </row>
    <row s="1643" customFormat="1" customHeight="1" ht="18.75" hidden="1">
      <c r="A242" s="1787" t="s">
        <v>252</v>
      </c>
      <c r="B242" s="1787" t="s">
        <v>253</v>
      </c>
      <c r="C242" s="377"/>
      <c r="D242" s="2483"/>
      <c r="E242" s="2225"/>
      <c r="F242" s="2404" t="str">
        <f>INDEX(PT_DIFFERENTIATION_VTAR,MATCH(A242,PT_DIFFERENTIATION_VTAR_ID,0))</f>
        <v>Тариф на транспортировку воды</v>
      </c>
      <c r="G242" s="2448" t="str">
        <f>INDEX(PT_DIFFERENTIATION_NTAR,MATCH(B242,PT_DIFFERENTIATION_NTAR_ID,0))</f>
        <v/>
      </c>
      <c r="H242" s="1867"/>
      <c r="I242" s="1746"/>
      <c r="J242" s="1780"/>
      <c r="K242" s="1785"/>
      <c r="L242" s="1867" t="s">
        <v>323</v>
      </c>
      <c r="M242" s="349"/>
      <c r="N242" s="342"/>
      <c r="O242" s="1632"/>
      <c r="P242" s="1632"/>
      <c r="AH242" s="1639">
        <v>0</v>
      </c>
    </row>
    <row s="1643" customFormat="1" customHeight="1" ht="18.75" hidden="1">
      <c r="A243" s="1787"/>
      <c r="B243" s="1787"/>
      <c r="C243" s="377" t="s">
        <v>1353</v>
      </c>
      <c r="D243" s="2483"/>
      <c r="E243" s="2225"/>
      <c r="F243" s="2404"/>
      <c r="G243" s="2448"/>
      <c r="H243" s="1508"/>
      <c r="I243" s="659" t="s">
        <v>1352</v>
      </c>
      <c r="J243" s="579"/>
      <c r="K243" s="1508"/>
      <c r="L243" s="222"/>
      <c r="M243" s="349"/>
      <c r="N243" s="342"/>
      <c r="O243" s="1632"/>
      <c r="P243" s="1632"/>
      <c r="AH243" s="1639">
        <v>0</v>
      </c>
    </row>
    <row s="1643" customFormat="1" customHeight="1" ht="0.75" hidden="1">
      <c r="A244" s="1787"/>
      <c r="B244" s="1787"/>
      <c r="C244" s="377" t="s">
        <v>1360</v>
      </c>
      <c r="D244" s="2483"/>
      <c r="E244" s="2225"/>
      <c r="F244" s="2404"/>
      <c r="G244" s="408"/>
      <c r="H244" s="1508"/>
      <c r="I244" s="659"/>
      <c r="J244" s="579"/>
      <c r="K244" s="1508"/>
      <c r="L244" s="222"/>
      <c r="M244" s="349"/>
      <c r="N244" s="342"/>
      <c r="O244" s="1632"/>
      <c r="P244" s="1632"/>
      <c r="AH244" s="1639">
        <v>0</v>
      </c>
    </row>
    <row s="1643" customFormat="1" customHeight="1" ht="18.75" hidden="1">
      <c r="A245" s="1787" t="s">
        <v>257</v>
      </c>
      <c r="B245" s="1787" t="s">
        <v>258</v>
      </c>
      <c r="C245" s="377"/>
      <c r="D245" s="2483"/>
      <c r="E245" s="2225"/>
      <c r="F245" s="2404" t="str">
        <f>INDEX(PT_DIFFERENTIATION_VTAR,MATCH(A245,PT_DIFFERENTIATION_VTAR_ID,0))</f>
        <v>Тариф на подвоз воды</v>
      </c>
      <c r="G245" s="2448" t="str">
        <f>INDEX(PT_DIFFERENTIATION_NTAR,MATCH(B245,PT_DIFFERENTIATION_NTAR_ID,0))</f>
        <v/>
      </c>
      <c r="H245" s="1867"/>
      <c r="I245" s="1746"/>
      <c r="J245" s="1780"/>
      <c r="K245" s="1785"/>
      <c r="L245" s="1867" t="s">
        <v>323</v>
      </c>
      <c r="M245" s="349"/>
      <c r="N245" s="342"/>
      <c r="O245" s="1632"/>
      <c r="P245" s="1632"/>
      <c r="AH245" s="1639">
        <v>0</v>
      </c>
    </row>
    <row s="1643" customFormat="1" customHeight="1" ht="18.75" hidden="1">
      <c r="A246" s="1787"/>
      <c r="B246" s="1787"/>
      <c r="C246" s="377" t="s">
        <v>1353</v>
      </c>
      <c r="D246" s="2483"/>
      <c r="E246" s="2225"/>
      <c r="F246" s="2404"/>
      <c r="G246" s="2448"/>
      <c r="H246" s="1508"/>
      <c r="I246" s="659" t="s">
        <v>1352</v>
      </c>
      <c r="J246" s="579"/>
      <c r="K246" s="1508"/>
      <c r="L246" s="222"/>
      <c r="M246" s="349"/>
      <c r="N246" s="342"/>
      <c r="O246" s="1632"/>
      <c r="P246" s="1632"/>
      <c r="AH246" s="1639">
        <v>0</v>
      </c>
    </row>
    <row s="1643" customFormat="1" customHeight="1" ht="0.75" hidden="1">
      <c r="A247" s="1787"/>
      <c r="B247" s="1787"/>
      <c r="C247" s="377" t="s">
        <v>1360</v>
      </c>
      <c r="D247" s="2483"/>
      <c r="E247" s="2225"/>
      <c r="F247" s="2404"/>
      <c r="G247" s="408"/>
      <c r="H247" s="1508"/>
      <c r="I247" s="659"/>
      <c r="J247" s="579"/>
      <c r="K247" s="1508"/>
      <c r="L247" s="222"/>
      <c r="M247" s="349"/>
      <c r="N247" s="342"/>
      <c r="O247" s="1632"/>
      <c r="P247" s="1632"/>
      <c r="AH247" s="1639">
        <v>0</v>
      </c>
    </row>
    <row s="1643" customFormat="1" customHeight="1" ht="18.75" hidden="1">
      <c r="A248" s="1787" t="s">
        <v>262</v>
      </c>
      <c r="B248" s="1787" t="s">
        <v>263</v>
      </c>
      <c r="C248" s="377"/>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7"/>
      <c r="I248" s="1746"/>
      <c r="J248" s="1780"/>
      <c r="K248" s="1785"/>
      <c r="L248" s="1867" t="s">
        <v>323</v>
      </c>
      <c r="M248" s="349"/>
      <c r="N248" s="342"/>
      <c r="O248" s="1632"/>
      <c r="P248" s="1632"/>
      <c r="AH248" s="1639">
        <v>0</v>
      </c>
    </row>
    <row s="1643" customFormat="1" customHeight="1" ht="18.75" hidden="1">
      <c r="A249" s="1787"/>
      <c r="B249" s="1787"/>
      <c r="C249" s="377" t="s">
        <v>1353</v>
      </c>
      <c r="D249" s="2483"/>
      <c r="E249" s="2225"/>
      <c r="F249" s="2404"/>
      <c r="G249" s="2448"/>
      <c r="H249" s="1508"/>
      <c r="I249" s="659" t="s">
        <v>1352</v>
      </c>
      <c r="J249" s="579"/>
      <c r="K249" s="1508"/>
      <c r="L249" s="222"/>
      <c r="M249" s="349"/>
      <c r="N249" s="342"/>
      <c r="O249" s="1632"/>
      <c r="P249" s="1632"/>
      <c r="AH249" s="1639">
        <v>0</v>
      </c>
    </row>
    <row s="1643" customFormat="1" customHeight="1" ht="0.75" hidden="1">
      <c r="A250" s="1787"/>
      <c r="B250" s="1787"/>
      <c r="C250" s="377" t="s">
        <v>1360</v>
      </c>
      <c r="D250" s="2483"/>
      <c r="E250" s="2225"/>
      <c r="F250" s="2404"/>
      <c r="G250" s="408"/>
      <c r="H250" s="1508"/>
      <c r="I250" s="659"/>
      <c r="J250" s="579"/>
      <c r="K250" s="1508"/>
      <c r="L250" s="222"/>
      <c r="M250" s="349"/>
      <c r="N250" s="342"/>
      <c r="O250" s="1632"/>
      <c r="P250" s="1632"/>
      <c r="AH250" s="1639">
        <v>0</v>
      </c>
    </row>
    <row s="1643" customFormat="1" customHeight="1" ht="18.75" hidden="1">
      <c r="A251" s="1787" t="s">
        <v>267</v>
      </c>
      <c r="B251" s="1787" t="s">
        <v>268</v>
      </c>
      <c r="C251" s="377"/>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7"/>
      <c r="I251" s="1746"/>
      <c r="J251" s="1780"/>
      <c r="K251" s="1785"/>
      <c r="L251" s="1867" t="s">
        <v>323</v>
      </c>
      <c r="M251" s="349"/>
      <c r="N251" s="342"/>
      <c r="O251" s="1632"/>
      <c r="P251" s="1632"/>
      <c r="AH251" s="1639">
        <v>0</v>
      </c>
    </row>
    <row s="1643" customFormat="1" customHeight="1" ht="18.75" hidden="1">
      <c r="A252" s="1787"/>
      <c r="B252" s="1787"/>
      <c r="C252" s="377" t="s">
        <v>1353</v>
      </c>
      <c r="D252" s="2483"/>
      <c r="E252" s="2225"/>
      <c r="F252" s="2404"/>
      <c r="G252" s="2448"/>
      <c r="H252" s="1508"/>
      <c r="I252" s="659" t="s">
        <v>1352</v>
      </c>
      <c r="J252" s="579"/>
      <c r="K252" s="1508"/>
      <c r="L252" s="222"/>
      <c r="M252" s="349"/>
      <c r="N252" s="342"/>
      <c r="O252" s="1632"/>
      <c r="P252" s="1632"/>
      <c r="AH252" s="1639">
        <v>0</v>
      </c>
    </row>
    <row s="1643" customFormat="1" customHeight="1" ht="0.75" hidden="1">
      <c r="A253" s="1787"/>
      <c r="B253" s="1787"/>
      <c r="C253" s="377" t="s">
        <v>1360</v>
      </c>
      <c r="D253" s="2483"/>
      <c r="E253" s="2225"/>
      <c r="F253" s="2404"/>
      <c r="G253" s="408"/>
      <c r="H253" s="1508"/>
      <c r="I253" s="659"/>
      <c r="J253" s="579"/>
      <c r="K253" s="1508"/>
      <c r="L253" s="222"/>
      <c r="M253" s="349"/>
      <c r="N253" s="342"/>
      <c r="O253" s="1632"/>
      <c r="P253" s="1632"/>
      <c r="AH253" s="1639">
        <v>0</v>
      </c>
    </row>
    <row s="1643" customFormat="1" customHeight="1" ht="18.75" hidden="1">
      <c r="A254" s="1787" t="s">
        <v>272</v>
      </c>
      <c r="B254" s="1787" t="s">
        <v>273</v>
      </c>
      <c r="C254" s="377"/>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7"/>
      <c r="I254" s="1746"/>
      <c r="J254" s="1780"/>
      <c r="K254" s="1785"/>
      <c r="L254" s="1867" t="s">
        <v>323</v>
      </c>
      <c r="M254" s="349"/>
      <c r="N254" s="342"/>
      <c r="O254" s="1632"/>
      <c r="P254" s="1632"/>
      <c r="AH254" s="1639">
        <v>0</v>
      </c>
    </row>
    <row s="1643" customFormat="1" customHeight="1" ht="18.75" hidden="1">
      <c r="A255" s="1787"/>
      <c r="B255" s="1787"/>
      <c r="C255" s="377" t="s">
        <v>1353</v>
      </c>
      <c r="D255" s="2483"/>
      <c r="E255" s="2225"/>
      <c r="F255" s="2404"/>
      <c r="G255" s="2448"/>
      <c r="H255" s="1508"/>
      <c r="I255" s="659" t="s">
        <v>1352</v>
      </c>
      <c r="J255" s="579"/>
      <c r="K255" s="1508"/>
      <c r="L255" s="222"/>
      <c r="M255" s="349"/>
      <c r="N255" s="342"/>
      <c r="O255" s="1632"/>
      <c r="P255" s="1632"/>
      <c r="AH255" s="1639">
        <v>0</v>
      </c>
    </row>
    <row s="1643" customFormat="1" customHeight="1" ht="0.75" hidden="1">
      <c r="A256" s="1787"/>
      <c r="B256" s="1787"/>
      <c r="C256" s="377" t="s">
        <v>1360</v>
      </c>
      <c r="D256" s="2483"/>
      <c r="E256" s="2225"/>
      <c r="F256" s="2404"/>
      <c r="G256" s="408"/>
      <c r="H256" s="1508"/>
      <c r="I256" s="659"/>
      <c r="J256" s="579"/>
      <c r="K256" s="1508"/>
      <c r="L256" s="222"/>
      <c r="M256" s="349"/>
      <c r="N256" s="342"/>
      <c r="O256" s="1632"/>
      <c r="P256" s="1632"/>
      <c r="AH256" s="1639">
        <v>0</v>
      </c>
    </row>
    <row s="1643" customFormat="1" customHeight="1" ht="18.75" hidden="1">
      <c r="A257" s="1787" t="s">
        <v>277</v>
      </c>
      <c r="B257" s="1787" t="s">
        <v>278</v>
      </c>
      <c r="C257" s="377"/>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7"/>
      <c r="I257" s="1746"/>
      <c r="J257" s="1780"/>
      <c r="K257" s="1785"/>
      <c r="L257" s="1867" t="s">
        <v>323</v>
      </c>
      <c r="M257" s="349"/>
      <c r="N257" s="342"/>
      <c r="O257" s="1632"/>
      <c r="P257" s="1632"/>
      <c r="AH257" s="1639">
        <v>0</v>
      </c>
    </row>
    <row s="1643" customFormat="1" customHeight="1" ht="18.75" hidden="1">
      <c r="A258" s="1787"/>
      <c r="B258" s="1787"/>
      <c r="C258" s="377" t="s">
        <v>1353</v>
      </c>
      <c r="D258" s="2483"/>
      <c r="E258" s="2225"/>
      <c r="F258" s="2404"/>
      <c r="G258" s="2448"/>
      <c r="H258" s="1508"/>
      <c r="I258" s="659" t="s">
        <v>1352</v>
      </c>
      <c r="J258" s="579"/>
      <c r="K258" s="1508"/>
      <c r="L258" s="222"/>
      <c r="M258" s="349"/>
      <c r="N258" s="342"/>
      <c r="O258" s="1632"/>
      <c r="P258" s="1632"/>
      <c r="AH258" s="1639">
        <v>0</v>
      </c>
    </row>
    <row s="1643" customFormat="1" customHeight="1" ht="0.75" hidden="1">
      <c r="A259" s="1787"/>
      <c r="B259" s="1787"/>
      <c r="C259" s="377" t="s">
        <v>1360</v>
      </c>
      <c r="D259" s="2483"/>
      <c r="E259" s="2225"/>
      <c r="F259" s="2404"/>
      <c r="G259" s="408"/>
      <c r="H259" s="1508"/>
      <c r="I259" s="659"/>
      <c r="J259" s="579"/>
      <c r="K259" s="1508"/>
      <c r="L259" s="222"/>
      <c r="M259" s="349"/>
      <c r="N259" s="342"/>
      <c r="O259" s="1632"/>
      <c r="P259" s="1632"/>
      <c r="AH259" s="1639">
        <v>0</v>
      </c>
    </row>
    <row s="1643" customFormat="1" customHeight="1" ht="18.75" hidden="1">
      <c r="A260" s="1787" t="s">
        <v>282</v>
      </c>
      <c r="B260" s="1787" t="s">
        <v>283</v>
      </c>
      <c r="C260" s="377"/>
      <c r="D260" s="2483"/>
      <c r="E260" s="2225"/>
      <c r="F260" s="2404" t="str">
        <f>INDEX(PT_DIFFERENTIATION_VTAR,MATCH(A260,PT_DIFFERENTIATION_VTAR_ID,0))</f>
        <v>Тариф на водоотведение</v>
      </c>
      <c r="G260" s="2448" t="str">
        <f>INDEX(PT_DIFFERENTIATION_NTAR,MATCH(B260,PT_DIFFERENTIATION_NTAR_ID,0))</f>
        <v/>
      </c>
      <c r="H260" s="1867"/>
      <c r="I260" s="1746"/>
      <c r="J260" s="1780"/>
      <c r="K260" s="1785"/>
      <c r="L260" s="1867" t="s">
        <v>323</v>
      </c>
      <c r="M260" s="349"/>
      <c r="N260" s="342"/>
      <c r="O260" s="1632"/>
      <c r="P260" s="1632"/>
      <c r="AH260" s="1639">
        <v>0</v>
      </c>
    </row>
    <row s="1643" customFormat="1" customHeight="1" ht="18.75" hidden="1">
      <c r="A261" s="1787"/>
      <c r="B261" s="1787"/>
      <c r="C261" s="377" t="s">
        <v>1353</v>
      </c>
      <c r="D261" s="2483"/>
      <c r="E261" s="2225"/>
      <c r="F261" s="2404"/>
      <c r="G261" s="2448"/>
      <c r="H261" s="1508"/>
      <c r="I261" s="659" t="s">
        <v>1352</v>
      </c>
      <c r="J261" s="579"/>
      <c r="K261" s="1508"/>
      <c r="L261" s="222"/>
      <c r="M261" s="349"/>
      <c r="N261" s="342"/>
      <c r="O261" s="1632"/>
      <c r="P261" s="1632"/>
      <c r="AH261" s="1639">
        <v>0</v>
      </c>
    </row>
    <row s="1643" customFormat="1" customHeight="1" ht="0.75" hidden="1">
      <c r="A262" s="1787"/>
      <c r="B262" s="1787"/>
      <c r="C262" s="377" t="s">
        <v>1360</v>
      </c>
      <c r="D262" s="2483"/>
      <c r="E262" s="2225"/>
      <c r="F262" s="2404"/>
      <c r="G262" s="408"/>
      <c r="H262" s="1508"/>
      <c r="I262" s="659"/>
      <c r="J262" s="579"/>
      <c r="K262" s="1508"/>
      <c r="L262" s="222"/>
      <c r="M262" s="349"/>
      <c r="N262" s="342"/>
      <c r="O262" s="1632"/>
      <c r="P262" s="1632"/>
      <c r="AH262" s="1639">
        <v>0</v>
      </c>
    </row>
    <row s="1643" customFormat="1" customHeight="1" ht="18.75" hidden="1">
      <c r="A263" s="1787" t="s">
        <v>287</v>
      </c>
      <c r="B263" s="1787" t="s">
        <v>288</v>
      </c>
      <c r="C263" s="377"/>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7"/>
      <c r="I263" s="1746"/>
      <c r="J263" s="1780"/>
      <c r="K263" s="1785"/>
      <c r="L263" s="1867" t="s">
        <v>323</v>
      </c>
      <c r="M263" s="349"/>
      <c r="N263" s="342"/>
      <c r="O263" s="1632"/>
      <c r="P263" s="1632"/>
      <c r="AH263" s="1639">
        <v>0</v>
      </c>
    </row>
    <row s="1643" customFormat="1" customHeight="1" ht="18.75" hidden="1">
      <c r="A264" s="1787"/>
      <c r="B264" s="1787"/>
      <c r="C264" s="377" t="s">
        <v>1353</v>
      </c>
      <c r="D264" s="2483"/>
      <c r="E264" s="2225"/>
      <c r="F264" s="2404"/>
      <c r="G264" s="2448"/>
      <c r="H264" s="1508"/>
      <c r="I264" s="659" t="s">
        <v>1352</v>
      </c>
      <c r="J264" s="579"/>
      <c r="K264" s="1508"/>
      <c r="L264" s="222"/>
      <c r="M264" s="349"/>
      <c r="N264" s="342"/>
      <c r="O264" s="1632"/>
      <c r="P264" s="1632"/>
      <c r="AH264" s="1639">
        <v>0</v>
      </c>
    </row>
    <row s="1643" customFormat="1" customHeight="1" ht="0.75" hidden="1">
      <c r="A265" s="1787"/>
      <c r="B265" s="1787"/>
      <c r="C265" s="377" t="s">
        <v>1360</v>
      </c>
      <c r="D265" s="2483"/>
      <c r="E265" s="2225"/>
      <c r="F265" s="2404"/>
      <c r="G265" s="408"/>
      <c r="H265" s="1508"/>
      <c r="I265" s="659"/>
      <c r="J265" s="579"/>
      <c r="K265" s="1508"/>
      <c r="L265" s="222"/>
      <c r="M265" s="349"/>
      <c r="N265" s="342"/>
      <c r="O265" s="1632"/>
      <c r="P265" s="1632"/>
      <c r="AH265" s="1639">
        <v>0</v>
      </c>
    </row>
    <row s="1643" customFormat="1" customHeight="1" ht="18.75" hidden="1">
      <c r="A266" s="1787" t="s">
        <v>292</v>
      </c>
      <c r="B266" s="1787" t="s">
        <v>293</v>
      </c>
      <c r="C266" s="377"/>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7"/>
      <c r="I266" s="1746"/>
      <c r="J266" s="1780"/>
      <c r="K266" s="1785"/>
      <c r="L266" s="1867" t="s">
        <v>323</v>
      </c>
      <c r="M266" s="349"/>
      <c r="N266" s="342"/>
      <c r="O266" s="1632"/>
      <c r="P266" s="1632"/>
      <c r="AH266" s="1639">
        <v>0</v>
      </c>
    </row>
    <row s="1643" customFormat="1" customHeight="1" ht="18.75" hidden="1">
      <c r="A267" s="1787"/>
      <c r="B267" s="1787"/>
      <c r="C267" s="377" t="s">
        <v>1353</v>
      </c>
      <c r="D267" s="2483"/>
      <c r="E267" s="2225"/>
      <c r="F267" s="2404"/>
      <c r="G267" s="2448"/>
      <c r="H267" s="1508"/>
      <c r="I267" s="659" t="s">
        <v>1352</v>
      </c>
      <c r="J267" s="579"/>
      <c r="K267" s="1508"/>
      <c r="L267" s="222"/>
      <c r="M267" s="349"/>
      <c r="N267" s="342"/>
      <c r="O267" s="1632"/>
      <c r="P267" s="1632"/>
      <c r="AH267" s="1639">
        <v>0</v>
      </c>
    </row>
    <row s="1643" customFormat="1" customHeight="1" ht="1.05">
      <c r="A268" s="1787"/>
      <c r="B268" s="1787"/>
      <c r="C268" s="377" t="s">
        <v>1360</v>
      </c>
      <c r="D268" s="2483"/>
      <c r="E268" s="2225"/>
      <c r="F268" s="2404"/>
      <c r="G268" s="408"/>
      <c r="H268" s="1508"/>
      <c r="I268" s="659"/>
      <c r="J268" s="579"/>
      <c r="K268" s="1508"/>
      <c r="L268" s="222"/>
      <c r="M268" s="349"/>
      <c r="N268" s="342"/>
      <c r="O268" s="1632"/>
      <c r="P268" s="1632"/>
      <c r="AH268" s="1639">
        <v>1</v>
      </c>
    </row>
    <row customHeight="1" ht="27.299999999999997">
      <c r="A269" s="1787"/>
      <c r="B269" s="1787"/>
      <c r="D269" s="384"/>
      <c r="E269" s="155" t="s">
        <v>92</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1"/>
      <c r="H269" s="2481"/>
      <c r="I269" s="2481"/>
      <c r="J269" s="2481"/>
      <c r="K269" s="2481"/>
      <c r="L269" s="2481"/>
      <c r="M269" s="305"/>
      <c r="N269" s="342"/>
      <c r="AH269" s="382">
        <v>26</v>
      </c>
    </row>
    <row s="1643" customFormat="1" customHeight="1" ht="60.75" hidden="1">
      <c r="A270" s="1787" t="s">
        <v>174</v>
      </c>
      <c r="B270" s="1787" t="s">
        <v>175</v>
      </c>
      <c r="C270" s="377"/>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7"/>
      <c r="I270" s="1746"/>
      <c r="J270" s="1780"/>
      <c r="K270" s="1785"/>
      <c r="L270" s="1867" t="s">
        <v>323</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7"/>
      <c r="B271" s="1787"/>
      <c r="C271" s="377" t="s">
        <v>1353</v>
      </c>
      <c r="D271" s="2483"/>
      <c r="E271" s="2225"/>
      <c r="F271" s="2404"/>
      <c r="G271" s="2448"/>
      <c r="H271" s="1508"/>
      <c r="I271" s="659" t="s">
        <v>1352</v>
      </c>
      <c r="J271" s="579"/>
      <c r="K271" s="1508"/>
      <c r="L271" s="222"/>
      <c r="M271" s="2191"/>
      <c r="N271" s="342"/>
      <c r="O271" s="1632"/>
      <c r="P271" s="1632"/>
      <c r="AH271" s="1639">
        <v>0</v>
      </c>
    </row>
    <row s="1643" customFormat="1" customHeight="1" ht="0.75" hidden="1">
      <c r="A272" s="1787"/>
      <c r="B272" s="1787"/>
      <c r="C272" s="377" t="s">
        <v>1360</v>
      </c>
      <c r="D272" s="2483"/>
      <c r="E272" s="2225"/>
      <c r="F272" s="2404"/>
      <c r="G272" s="408"/>
      <c r="H272" s="1508"/>
      <c r="I272" s="659"/>
      <c r="J272" s="579"/>
      <c r="K272" s="1508"/>
      <c r="L272" s="222"/>
      <c r="M272" s="2191"/>
      <c r="N272" s="342"/>
      <c r="O272" s="1632"/>
      <c r="P272" s="1632"/>
      <c r="AH272" s="1639">
        <v>0</v>
      </c>
    </row>
    <row s="1643" customFormat="1" customHeight="1" ht="45" hidden="1">
      <c r="A273" s="1787" t="s">
        <v>179</v>
      </c>
      <c r="B273" s="1787" t="s">
        <v>180</v>
      </c>
      <c r="C273" s="377"/>
      <c r="D273" s="2483"/>
      <c r="E273" s="2225"/>
      <c r="F273" s="2404" t="str">
        <f>INDEX(PT_DIFFERENTIATION_VTAR,MATCH(A273,PT_DIFFERENTIATION_VTAR_ID,0))</f>
        <v/>
      </c>
      <c r="G273" s="2448" t="str">
        <f>INDEX(PT_DIFFERENTIATION_NTAR,MATCH(B273,PT_DIFFERENTIATION_NTAR_ID,0))</f>
        <v/>
      </c>
      <c r="H273" s="1867"/>
      <c r="I273" s="1746"/>
      <c r="J273" s="1780"/>
      <c r="K273" s="1785"/>
      <c r="L273" s="1867" t="s">
        <v>323</v>
      </c>
      <c r="M273" s="2192"/>
      <c r="N273" s="342"/>
      <c r="O273" s="1632"/>
      <c r="P273" s="1632"/>
      <c r="AH273" s="1639">
        <v>0</v>
      </c>
    </row>
    <row s="1643" customFormat="1" customHeight="1" ht="18.75" hidden="1">
      <c r="A274" s="1787"/>
      <c r="B274" s="1787"/>
      <c r="C274" s="377" t="s">
        <v>1353</v>
      </c>
      <c r="D274" s="2483"/>
      <c r="E274" s="2225"/>
      <c r="F274" s="2404"/>
      <c r="G274" s="2448"/>
      <c r="H274" s="1508"/>
      <c r="I274" s="659" t="s">
        <v>1352</v>
      </c>
      <c r="J274" s="579"/>
      <c r="K274" s="1508"/>
      <c r="L274" s="222"/>
      <c r="M274" s="1866"/>
      <c r="N274" s="342"/>
      <c r="O274" s="1632"/>
      <c r="P274" s="1632"/>
      <c r="AH274" s="1639">
        <v>0</v>
      </c>
    </row>
    <row s="1643" customFormat="1" customHeight="1" ht="0.75" hidden="1">
      <c r="A275" s="1787"/>
      <c r="B275" s="1787"/>
      <c r="C275" s="377" t="s">
        <v>1360</v>
      </c>
      <c r="D275" s="2483"/>
      <c r="E275" s="2225"/>
      <c r="F275" s="2404"/>
      <c r="G275" s="408"/>
      <c r="H275" s="1508"/>
      <c r="I275" s="659"/>
      <c r="J275" s="579"/>
      <c r="K275" s="1508"/>
      <c r="L275" s="222"/>
      <c r="M275" s="349"/>
      <c r="N275" s="342"/>
      <c r="O275" s="1632"/>
      <c r="P275" s="1632"/>
      <c r="AH275" s="1639">
        <v>0</v>
      </c>
    </row>
    <row s="1643" customFormat="1" customHeight="1" ht="45" hidden="1">
      <c r="A276" s="1787" t="s">
        <v>186</v>
      </c>
      <c r="B276" s="1787" t="s">
        <v>187</v>
      </c>
      <c r="C276" s="377"/>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7"/>
      <c r="I276" s="1746"/>
      <c r="J276" s="1780"/>
      <c r="K276" s="1785"/>
      <c r="L276" s="1867" t="s">
        <v>323</v>
      </c>
      <c r="M276" s="349"/>
      <c r="N276" s="342"/>
      <c r="O276" s="1632"/>
      <c r="P276" s="1632"/>
      <c r="AH276" s="1639">
        <v>0</v>
      </c>
    </row>
    <row s="1643" customFormat="1" customHeight="1" ht="18.75" hidden="1">
      <c r="A277" s="1787"/>
      <c r="B277" s="1787"/>
      <c r="C277" s="377" t="s">
        <v>1353</v>
      </c>
      <c r="D277" s="2483"/>
      <c r="E277" s="2225"/>
      <c r="F277" s="2404"/>
      <c r="G277" s="2448"/>
      <c r="H277" s="1508"/>
      <c r="I277" s="659" t="s">
        <v>1352</v>
      </c>
      <c r="J277" s="579"/>
      <c r="K277" s="1508"/>
      <c r="L277" s="222"/>
      <c r="M277" s="349"/>
      <c r="N277" s="342"/>
      <c r="O277" s="1632"/>
      <c r="P277" s="1632"/>
      <c r="AH277" s="1639">
        <v>0</v>
      </c>
    </row>
    <row s="1643" customFormat="1" customHeight="1" ht="0.75" hidden="1">
      <c r="A278" s="1787"/>
      <c r="B278" s="1787"/>
      <c r="C278" s="377" t="s">
        <v>1360</v>
      </c>
      <c r="D278" s="2483"/>
      <c r="E278" s="2225"/>
      <c r="F278" s="2404"/>
      <c r="G278" s="408"/>
      <c r="H278" s="1508"/>
      <c r="I278" s="659"/>
      <c r="J278" s="579"/>
      <c r="K278" s="1508"/>
      <c r="L278" s="222"/>
      <c r="M278" s="349"/>
      <c r="N278" s="342"/>
      <c r="O278" s="1632"/>
      <c r="P278" s="1632"/>
      <c r="AH278" s="1639">
        <v>0</v>
      </c>
    </row>
    <row s="1643" customFormat="1" customHeight="1" ht="45" hidden="1">
      <c r="A279" s="1787" t="s">
        <v>192</v>
      </c>
      <c r="B279" s="1787" t="s">
        <v>193</v>
      </c>
      <c r="C279" s="377"/>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7"/>
      <c r="I279" s="1746"/>
      <c r="J279" s="1780"/>
      <c r="K279" s="1785"/>
      <c r="L279" s="1867" t="s">
        <v>323</v>
      </c>
      <c r="M279" s="349"/>
      <c r="N279" s="342"/>
      <c r="O279" s="1632"/>
      <c r="P279" s="1632"/>
      <c r="AH279" s="1639">
        <v>0</v>
      </c>
    </row>
    <row s="1643" customFormat="1" customHeight="1" ht="18.75" hidden="1">
      <c r="A280" s="1787"/>
      <c r="B280" s="1787"/>
      <c r="C280" s="377" t="s">
        <v>1353</v>
      </c>
      <c r="D280" s="2483"/>
      <c r="E280" s="2225"/>
      <c r="F280" s="2404"/>
      <c r="G280" s="2448"/>
      <c r="H280" s="1508"/>
      <c r="I280" s="659" t="s">
        <v>1352</v>
      </c>
      <c r="J280" s="579"/>
      <c r="K280" s="1508"/>
      <c r="L280" s="222"/>
      <c r="M280" s="349"/>
      <c r="N280" s="342"/>
      <c r="O280" s="1632"/>
      <c r="P280" s="1632"/>
      <c r="AH280" s="1639">
        <v>0</v>
      </c>
    </row>
    <row s="1643" customFormat="1" customHeight="1" ht="0.75" hidden="1">
      <c r="A281" s="1787"/>
      <c r="B281" s="1787"/>
      <c r="C281" s="377" t="s">
        <v>1360</v>
      </c>
      <c r="D281" s="2483"/>
      <c r="E281" s="2225"/>
      <c r="F281" s="2404"/>
      <c r="G281" s="408"/>
      <c r="H281" s="1508"/>
      <c r="I281" s="659"/>
      <c r="J281" s="579"/>
      <c r="K281" s="1508"/>
      <c r="L281" s="222"/>
      <c r="M281" s="349"/>
      <c r="N281" s="342"/>
      <c r="O281" s="1632"/>
      <c r="P281" s="1632"/>
      <c r="AH281" s="1639">
        <v>0</v>
      </c>
    </row>
    <row s="1643" customFormat="1" customHeight="1" ht="18.75" hidden="1">
      <c r="A282" s="1787" t="s">
        <v>198</v>
      </c>
      <c r="B282" s="1787" t="s">
        <v>199</v>
      </c>
      <c r="C282" s="377"/>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7"/>
      <c r="I282" s="1746"/>
      <c r="J282" s="1780"/>
      <c r="K282" s="1785"/>
      <c r="L282" s="1867" t="s">
        <v>323</v>
      </c>
      <c r="M282" s="349"/>
      <c r="N282" s="342"/>
      <c r="O282" s="1632"/>
      <c r="P282" s="1632"/>
      <c r="AH282" s="1639">
        <v>0</v>
      </c>
    </row>
    <row s="1643" customFormat="1" customHeight="1" ht="18.75" hidden="1">
      <c r="A283" s="1787"/>
      <c r="B283" s="1787"/>
      <c r="C283" s="377" t="s">
        <v>1353</v>
      </c>
      <c r="D283" s="2483"/>
      <c r="E283" s="2225"/>
      <c r="F283" s="2404"/>
      <c r="G283" s="2448"/>
      <c r="H283" s="1508"/>
      <c r="I283" s="659" t="s">
        <v>1352</v>
      </c>
      <c r="J283" s="579"/>
      <c r="K283" s="1508"/>
      <c r="L283" s="222"/>
      <c r="M283" s="349"/>
      <c r="N283" s="342"/>
      <c r="O283" s="1632"/>
      <c r="P283" s="1632"/>
      <c r="AH283" s="1639">
        <v>0</v>
      </c>
    </row>
    <row s="1643" customFormat="1" customHeight="1" ht="0.75" hidden="1">
      <c r="A284" s="1787"/>
      <c r="B284" s="1787"/>
      <c r="C284" s="377" t="s">
        <v>1360</v>
      </c>
      <c r="D284" s="2483"/>
      <c r="E284" s="2225"/>
      <c r="F284" s="2404"/>
      <c r="G284" s="408"/>
      <c r="H284" s="1508"/>
      <c r="I284" s="659"/>
      <c r="J284" s="579"/>
      <c r="K284" s="1508"/>
      <c r="L284" s="222"/>
      <c r="M284" s="349"/>
      <c r="N284" s="342"/>
      <c r="O284" s="1632"/>
      <c r="P284" s="1632"/>
      <c r="AH284" s="1639">
        <v>0</v>
      </c>
    </row>
    <row s="1643" customFormat="1" customHeight="1" ht="18.75" hidden="1">
      <c r="A285" s="1787" t="s">
        <v>204</v>
      </c>
      <c r="B285" s="1787" t="s">
        <v>205</v>
      </c>
      <c r="C285" s="377"/>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7"/>
      <c r="I285" s="1746"/>
      <c r="J285" s="1780"/>
      <c r="K285" s="1785"/>
      <c r="L285" s="1867" t="s">
        <v>323</v>
      </c>
      <c r="M285" s="349"/>
      <c r="N285" s="342"/>
      <c r="O285" s="1632"/>
      <c r="P285" s="1632"/>
      <c r="AH285" s="1639">
        <v>0</v>
      </c>
    </row>
    <row s="1643" customFormat="1" customHeight="1" ht="18.75" hidden="1">
      <c r="A286" s="1787"/>
      <c r="B286" s="1787"/>
      <c r="C286" s="377" t="s">
        <v>1353</v>
      </c>
      <c r="D286" s="2483"/>
      <c r="E286" s="2225"/>
      <c r="F286" s="2404"/>
      <c r="G286" s="2448"/>
      <c r="H286" s="1508"/>
      <c r="I286" s="659" t="s">
        <v>1352</v>
      </c>
      <c r="J286" s="579"/>
      <c r="K286" s="1508"/>
      <c r="L286" s="222"/>
      <c r="M286" s="349"/>
      <c r="N286" s="342"/>
      <c r="O286" s="1632"/>
      <c r="P286" s="1632"/>
      <c r="AH286" s="1639">
        <v>0</v>
      </c>
    </row>
    <row s="1643" customFormat="1" customHeight="1" ht="0.75" hidden="1">
      <c r="A287" s="1787"/>
      <c r="B287" s="1787"/>
      <c r="C287" s="377" t="s">
        <v>1360</v>
      </c>
      <c r="D287" s="2483"/>
      <c r="E287" s="2225"/>
      <c r="F287" s="2404"/>
      <c r="G287" s="408"/>
      <c r="H287" s="1508"/>
      <c r="I287" s="659"/>
      <c r="J287" s="579"/>
      <c r="K287" s="1508"/>
      <c r="L287" s="222"/>
      <c r="M287" s="349"/>
      <c r="N287" s="342"/>
      <c r="O287" s="1632"/>
      <c r="P287" s="1632"/>
      <c r="AH287" s="1639">
        <v>0</v>
      </c>
    </row>
    <row s="1643" customFormat="1" customHeight="1" ht="18.75" hidden="1">
      <c r="A288" s="1787" t="s">
        <v>210</v>
      </c>
      <c r="B288" s="1787" t="s">
        <v>211</v>
      </c>
      <c r="C288" s="377"/>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7"/>
      <c r="I288" s="1746"/>
      <c r="J288" s="1780"/>
      <c r="K288" s="1785"/>
      <c r="L288" s="1867" t="s">
        <v>323</v>
      </c>
      <c r="M288" s="349"/>
      <c r="N288" s="342"/>
      <c r="O288" s="1632"/>
      <c r="P288" s="1632"/>
      <c r="AH288" s="1639">
        <v>0</v>
      </c>
    </row>
    <row s="1643" customFormat="1" customHeight="1" ht="18.75" hidden="1">
      <c r="A289" s="1787"/>
      <c r="B289" s="1787"/>
      <c r="C289" s="377" t="s">
        <v>1353</v>
      </c>
      <c r="D289" s="2483"/>
      <c r="E289" s="2225"/>
      <c r="F289" s="2404"/>
      <c r="G289" s="2448"/>
      <c r="H289" s="1508"/>
      <c r="I289" s="659" t="s">
        <v>1352</v>
      </c>
      <c r="J289" s="579"/>
      <c r="K289" s="1508"/>
      <c r="L289" s="222"/>
      <c r="M289" s="349"/>
      <c r="N289" s="342"/>
      <c r="O289" s="1632"/>
      <c r="P289" s="1632"/>
      <c r="AH289" s="1639">
        <v>0</v>
      </c>
    </row>
    <row s="1643" customFormat="1" customHeight="1" ht="0.75" hidden="1">
      <c r="A290" s="1787"/>
      <c r="B290" s="1787"/>
      <c r="C290" s="377" t="s">
        <v>1360</v>
      </c>
      <c r="D290" s="2483"/>
      <c r="E290" s="2225"/>
      <c r="F290" s="2404"/>
      <c r="G290" s="408"/>
      <c r="H290" s="1508"/>
      <c r="I290" s="659"/>
      <c r="J290" s="579"/>
      <c r="K290" s="1508"/>
      <c r="L290" s="222"/>
      <c r="M290" s="349"/>
      <c r="N290" s="342"/>
      <c r="O290" s="1632"/>
      <c r="P290" s="1632"/>
      <c r="AH290" s="1639">
        <v>0</v>
      </c>
    </row>
    <row s="1643" customFormat="1" customHeight="1" ht="18.75" hidden="1">
      <c r="A291" s="1787" t="s">
        <v>216</v>
      </c>
      <c r="B291" s="1787" t="s">
        <v>217</v>
      </c>
      <c r="C291" s="377"/>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7"/>
      <c r="I291" s="1746"/>
      <c r="J291" s="1780"/>
      <c r="K291" s="1785"/>
      <c r="L291" s="1867" t="s">
        <v>323</v>
      </c>
      <c r="M291" s="349"/>
      <c r="N291" s="342"/>
      <c r="O291" s="1632"/>
      <c r="P291" s="1632"/>
      <c r="AH291" s="1639">
        <v>0</v>
      </c>
    </row>
    <row s="1643" customFormat="1" customHeight="1" ht="18.75" hidden="1">
      <c r="A292" s="1787"/>
      <c r="B292" s="1787"/>
      <c r="C292" s="377" t="s">
        <v>1353</v>
      </c>
      <c r="D292" s="2483"/>
      <c r="E292" s="2225"/>
      <c r="F292" s="2404"/>
      <c r="G292" s="2448"/>
      <c r="H292" s="1508"/>
      <c r="I292" s="659" t="s">
        <v>1352</v>
      </c>
      <c r="J292" s="579"/>
      <c r="K292" s="1508"/>
      <c r="L292" s="222"/>
      <c r="M292" s="349"/>
      <c r="N292" s="342"/>
      <c r="O292" s="1632"/>
      <c r="P292" s="1632"/>
      <c r="AH292" s="1639">
        <v>0</v>
      </c>
    </row>
    <row s="1643" customFormat="1" customHeight="1" ht="0.75" hidden="1">
      <c r="A293" s="1787"/>
      <c r="B293" s="1787"/>
      <c r="C293" s="377" t="s">
        <v>1360</v>
      </c>
      <c r="D293" s="2483"/>
      <c r="E293" s="2225"/>
      <c r="F293" s="2404"/>
      <c r="G293" s="408"/>
      <c r="H293" s="1508"/>
      <c r="I293" s="659"/>
      <c r="J293" s="579"/>
      <c r="K293" s="1508"/>
      <c r="L293" s="222"/>
      <c r="M293" s="349"/>
      <c r="N293" s="342"/>
      <c r="O293" s="1632"/>
      <c r="P293" s="1632"/>
      <c r="AH293" s="1639">
        <v>0</v>
      </c>
    </row>
    <row s="1643" customFormat="1" customHeight="1" ht="18.75" hidden="1">
      <c r="A294" s="1787" t="s">
        <v>222</v>
      </c>
      <c r="B294" s="1787" t="s">
        <v>223</v>
      </c>
      <c r="C294" s="377"/>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94"/>
      <c r="I294" s="1746"/>
      <c r="J294" s="1780"/>
      <c r="K294" s="1785"/>
      <c r="L294" s="1994" t="s">
        <v>323</v>
      </c>
      <c r="M294" s="349"/>
      <c r="N294" s="342"/>
      <c r="O294" s="1632"/>
      <c r="P294" s="1632"/>
      <c r="AH294" s="1639">
        <v>0</v>
      </c>
    </row>
    <row s="1643" customFormat="1" customHeight="1" ht="18.75" hidden="1">
      <c r="A295" s="1787"/>
      <c r="B295" s="1787"/>
      <c r="C295" s="377" t="s">
        <v>1353</v>
      </c>
      <c r="D295" s="2483"/>
      <c r="E295" s="2225"/>
      <c r="F295" s="2404"/>
      <c r="G295" s="2448"/>
      <c r="H295" s="1508"/>
      <c r="I295" s="659" t="s">
        <v>1352</v>
      </c>
      <c r="J295" s="579"/>
      <c r="K295" s="1508"/>
      <c r="L295" s="222"/>
      <c r="M295" s="349"/>
      <c r="N295" s="342"/>
      <c r="O295" s="1632"/>
      <c r="P295" s="1632"/>
      <c r="AH295" s="1639">
        <v>0</v>
      </c>
    </row>
    <row s="1643" customFormat="1" customHeight="1" ht="0.75" hidden="1">
      <c r="A296" s="1787"/>
      <c r="B296" s="1787"/>
      <c r="C296" s="377" t="s">
        <v>1360</v>
      </c>
      <c r="D296" s="2483"/>
      <c r="E296" s="2225"/>
      <c r="F296" s="2404"/>
      <c r="G296" s="408"/>
      <c r="H296" s="1508"/>
      <c r="I296" s="659"/>
      <c r="J296" s="579"/>
      <c r="K296" s="1508"/>
      <c r="L296" s="222"/>
      <c r="M296" s="349"/>
      <c r="N296" s="342"/>
      <c r="O296" s="1632"/>
      <c r="P296" s="1632"/>
      <c r="AH296" s="1639">
        <v>0</v>
      </c>
    </row>
    <row s="1643" customFormat="1" customHeight="1" ht="18.75" hidden="1">
      <c r="A297" s="1787" t="s">
        <v>242</v>
      </c>
      <c r="B297" s="1787" t="s">
        <v>243</v>
      </c>
      <c r="C297" s="377"/>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7"/>
      <c r="I297" s="1746"/>
      <c r="J297" s="1780"/>
      <c r="K297" s="1785"/>
      <c r="L297" s="1867" t="s">
        <v>323</v>
      </c>
      <c r="M297" s="349"/>
      <c r="N297" s="342"/>
      <c r="O297" s="1632"/>
      <c r="P297" s="1632"/>
      <c r="AH297" s="1639">
        <v>0</v>
      </c>
    </row>
    <row s="1643" customFormat="1" customHeight="1" ht="18.75" hidden="1">
      <c r="A298" s="1787"/>
      <c r="B298" s="1787"/>
      <c r="C298" s="377" t="s">
        <v>1353</v>
      </c>
      <c r="D298" s="2483"/>
      <c r="E298" s="2225"/>
      <c r="F298" s="2404"/>
      <c r="G298" s="2448"/>
      <c r="H298" s="1508"/>
      <c r="I298" s="659" t="s">
        <v>1352</v>
      </c>
      <c r="J298" s="579"/>
      <c r="K298" s="1508"/>
      <c r="L298" s="222"/>
      <c r="M298" s="349"/>
      <c r="N298" s="342"/>
      <c r="O298" s="1632"/>
      <c r="P298" s="1632"/>
      <c r="AH298" s="1639">
        <v>0</v>
      </c>
    </row>
    <row s="1643" customFormat="1" customHeight="1" ht="0.75" hidden="1">
      <c r="A299" s="1787"/>
      <c r="B299" s="1787"/>
      <c r="C299" s="377" t="s">
        <v>1360</v>
      </c>
      <c r="D299" s="2483"/>
      <c r="E299" s="2225"/>
      <c r="F299" s="2404"/>
      <c r="G299" s="408"/>
      <c r="H299" s="1508"/>
      <c r="I299" s="659"/>
      <c r="J299" s="579"/>
      <c r="K299" s="1508"/>
      <c r="L299" s="222"/>
      <c r="M299" s="349"/>
      <c r="N299" s="342"/>
      <c r="O299" s="1632"/>
      <c r="P299" s="1632"/>
      <c r="AH299" s="1639">
        <v>0</v>
      </c>
    </row>
    <row s="1643" customFormat="1" customHeight="1" ht="18.75" hidden="1">
      <c r="A300" s="1787" t="s">
        <v>247</v>
      </c>
      <c r="B300" s="1787" t="s">
        <v>248</v>
      </c>
      <c r="C300" s="377"/>
      <c r="D300" s="2483"/>
      <c r="E300" s="2225"/>
      <c r="F300" s="2404" t="str">
        <f>INDEX(PT_DIFFERENTIATION_VTAR,MATCH(A300,PT_DIFFERENTIATION_VTAR_ID,0))</f>
        <v>Тариф на техническую воду</v>
      </c>
      <c r="G300" s="2448" t="str">
        <f>INDEX(PT_DIFFERENTIATION_NTAR,MATCH(B300,PT_DIFFERENTIATION_NTAR_ID,0))</f>
        <v/>
      </c>
      <c r="H300" s="1867"/>
      <c r="I300" s="1746"/>
      <c r="J300" s="1780"/>
      <c r="K300" s="1785"/>
      <c r="L300" s="1867" t="s">
        <v>323</v>
      </c>
      <c r="M300" s="349"/>
      <c r="N300" s="342"/>
      <c r="O300" s="1632"/>
      <c r="P300" s="1632"/>
      <c r="AH300" s="1639">
        <v>0</v>
      </c>
    </row>
    <row s="1643" customFormat="1" customHeight="1" ht="18.75" hidden="1">
      <c r="A301" s="1787"/>
      <c r="B301" s="1787"/>
      <c r="C301" s="377" t="s">
        <v>1353</v>
      </c>
      <c r="D301" s="2483"/>
      <c r="E301" s="2225"/>
      <c r="F301" s="2404"/>
      <c r="G301" s="2448"/>
      <c r="H301" s="1508"/>
      <c r="I301" s="659" t="s">
        <v>1352</v>
      </c>
      <c r="J301" s="579"/>
      <c r="K301" s="1508"/>
      <c r="L301" s="222"/>
      <c r="M301" s="349"/>
      <c r="N301" s="342"/>
      <c r="O301" s="1632"/>
      <c r="P301" s="1632"/>
      <c r="AH301" s="1639">
        <v>0</v>
      </c>
    </row>
    <row s="1643" customFormat="1" customHeight="1" ht="0.75" hidden="1">
      <c r="A302" s="1787"/>
      <c r="B302" s="1787"/>
      <c r="C302" s="377" t="s">
        <v>1360</v>
      </c>
      <c r="D302" s="2483"/>
      <c r="E302" s="2225"/>
      <c r="F302" s="2404"/>
      <c r="G302" s="408"/>
      <c r="H302" s="1508"/>
      <c r="I302" s="659"/>
      <c r="J302" s="579"/>
      <c r="K302" s="1508"/>
      <c r="L302" s="222"/>
      <c r="M302" s="349"/>
      <c r="N302" s="342"/>
      <c r="O302" s="1632"/>
      <c r="P302" s="1632"/>
      <c r="AH302" s="1639">
        <v>0</v>
      </c>
    </row>
    <row s="1643" customFormat="1" customHeight="1" ht="18.75" hidden="1">
      <c r="A303" s="1787" t="s">
        <v>252</v>
      </c>
      <c r="B303" s="1787" t="s">
        <v>253</v>
      </c>
      <c r="C303" s="377"/>
      <c r="D303" s="2483"/>
      <c r="E303" s="2225"/>
      <c r="F303" s="2404" t="str">
        <f>INDEX(PT_DIFFERENTIATION_VTAR,MATCH(A303,PT_DIFFERENTIATION_VTAR_ID,0))</f>
        <v>Тариф на транспортировку воды</v>
      </c>
      <c r="G303" s="2448" t="str">
        <f>INDEX(PT_DIFFERENTIATION_NTAR,MATCH(B303,PT_DIFFERENTIATION_NTAR_ID,0))</f>
        <v/>
      </c>
      <c r="H303" s="1867"/>
      <c r="I303" s="1746"/>
      <c r="J303" s="1780"/>
      <c r="K303" s="1785"/>
      <c r="L303" s="1867" t="s">
        <v>323</v>
      </c>
      <c r="M303" s="349"/>
      <c r="N303" s="342"/>
      <c r="O303" s="1632"/>
      <c r="P303" s="1632"/>
      <c r="AH303" s="1639">
        <v>0</v>
      </c>
    </row>
    <row s="1643" customFormat="1" customHeight="1" ht="18.75" hidden="1">
      <c r="A304" s="1787"/>
      <c r="B304" s="1787"/>
      <c r="C304" s="377" t="s">
        <v>1353</v>
      </c>
      <c r="D304" s="2483"/>
      <c r="E304" s="2225"/>
      <c r="F304" s="2404"/>
      <c r="G304" s="2448"/>
      <c r="H304" s="1508"/>
      <c r="I304" s="659" t="s">
        <v>1352</v>
      </c>
      <c r="J304" s="579"/>
      <c r="K304" s="1508"/>
      <c r="L304" s="222"/>
      <c r="M304" s="349"/>
      <c r="N304" s="342"/>
      <c r="O304" s="1632"/>
      <c r="P304" s="1632"/>
      <c r="AH304" s="1639">
        <v>0</v>
      </c>
    </row>
    <row s="1643" customFormat="1" customHeight="1" ht="0.75" hidden="1">
      <c r="A305" s="1787"/>
      <c r="B305" s="1787"/>
      <c r="C305" s="377" t="s">
        <v>1360</v>
      </c>
      <c r="D305" s="2483"/>
      <c r="E305" s="2225"/>
      <c r="F305" s="2404"/>
      <c r="G305" s="408"/>
      <c r="H305" s="1508"/>
      <c r="I305" s="659"/>
      <c r="J305" s="579"/>
      <c r="K305" s="1508"/>
      <c r="L305" s="222"/>
      <c r="M305" s="349"/>
      <c r="N305" s="342"/>
      <c r="O305" s="1632"/>
      <c r="P305" s="1632"/>
      <c r="AH305" s="1639">
        <v>0</v>
      </c>
    </row>
    <row s="1643" customFormat="1" customHeight="1" ht="18.75" hidden="1">
      <c r="A306" s="1787" t="s">
        <v>257</v>
      </c>
      <c r="B306" s="1787" t="s">
        <v>258</v>
      </c>
      <c r="C306" s="377"/>
      <c r="D306" s="2483"/>
      <c r="E306" s="2225"/>
      <c r="F306" s="2404" t="str">
        <f>INDEX(PT_DIFFERENTIATION_VTAR,MATCH(A306,PT_DIFFERENTIATION_VTAR_ID,0))</f>
        <v>Тариф на подвоз воды</v>
      </c>
      <c r="G306" s="2448" t="str">
        <f>INDEX(PT_DIFFERENTIATION_NTAR,MATCH(B306,PT_DIFFERENTIATION_NTAR_ID,0))</f>
        <v/>
      </c>
      <c r="H306" s="1867"/>
      <c r="I306" s="1746"/>
      <c r="J306" s="1780"/>
      <c r="K306" s="1785"/>
      <c r="L306" s="1867" t="s">
        <v>323</v>
      </c>
      <c r="M306" s="349"/>
      <c r="N306" s="342"/>
      <c r="O306" s="1632"/>
      <c r="P306" s="1632"/>
      <c r="AH306" s="1639">
        <v>0</v>
      </c>
    </row>
    <row s="1643" customFormat="1" customHeight="1" ht="18.75" hidden="1">
      <c r="A307" s="1787"/>
      <c r="B307" s="1787"/>
      <c r="C307" s="377" t="s">
        <v>1353</v>
      </c>
      <c r="D307" s="2483"/>
      <c r="E307" s="2225"/>
      <c r="F307" s="2404"/>
      <c r="G307" s="2448"/>
      <c r="H307" s="1508"/>
      <c r="I307" s="659" t="s">
        <v>1352</v>
      </c>
      <c r="J307" s="579"/>
      <c r="K307" s="1508"/>
      <c r="L307" s="222"/>
      <c r="M307" s="349"/>
      <c r="N307" s="342"/>
      <c r="O307" s="1632"/>
      <c r="P307" s="1632"/>
      <c r="AH307" s="1639">
        <v>0</v>
      </c>
    </row>
    <row s="1643" customFormat="1" customHeight="1" ht="0.75" hidden="1">
      <c r="A308" s="1787"/>
      <c r="B308" s="1787"/>
      <c r="C308" s="377" t="s">
        <v>1360</v>
      </c>
      <c r="D308" s="2483"/>
      <c r="E308" s="2225"/>
      <c r="F308" s="2404"/>
      <c r="G308" s="408"/>
      <c r="H308" s="1508"/>
      <c r="I308" s="659"/>
      <c r="J308" s="579"/>
      <c r="K308" s="1508"/>
      <c r="L308" s="222"/>
      <c r="M308" s="349"/>
      <c r="N308" s="342"/>
      <c r="O308" s="1632"/>
      <c r="P308" s="1632"/>
      <c r="AH308" s="1639">
        <v>0</v>
      </c>
    </row>
    <row s="1643" customFormat="1" customHeight="1" ht="18.75" hidden="1">
      <c r="A309" s="1787" t="s">
        <v>262</v>
      </c>
      <c r="B309" s="1787" t="s">
        <v>263</v>
      </c>
      <c r="C309" s="377"/>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7"/>
      <c r="I309" s="1746"/>
      <c r="J309" s="1780"/>
      <c r="K309" s="1785"/>
      <c r="L309" s="1867" t="s">
        <v>323</v>
      </c>
      <c r="M309" s="349"/>
      <c r="N309" s="342"/>
      <c r="O309" s="1632"/>
      <c r="P309" s="1632"/>
      <c r="AH309" s="1639">
        <v>0</v>
      </c>
    </row>
    <row s="1643" customFormat="1" customHeight="1" ht="18.75" hidden="1">
      <c r="A310" s="1787"/>
      <c r="B310" s="1787"/>
      <c r="C310" s="377" t="s">
        <v>1353</v>
      </c>
      <c r="D310" s="2483"/>
      <c r="E310" s="2225"/>
      <c r="F310" s="2404"/>
      <c r="G310" s="2448"/>
      <c r="H310" s="1508"/>
      <c r="I310" s="659" t="s">
        <v>1352</v>
      </c>
      <c r="J310" s="579"/>
      <c r="K310" s="1508"/>
      <c r="L310" s="222"/>
      <c r="M310" s="349"/>
      <c r="N310" s="342"/>
      <c r="O310" s="1632"/>
      <c r="P310" s="1632"/>
      <c r="AH310" s="1639">
        <v>0</v>
      </c>
    </row>
    <row s="1643" customFormat="1" customHeight="1" ht="0.75" hidden="1">
      <c r="A311" s="1787"/>
      <c r="B311" s="1787"/>
      <c r="C311" s="377" t="s">
        <v>1360</v>
      </c>
      <c r="D311" s="2483"/>
      <c r="E311" s="2225"/>
      <c r="F311" s="2404"/>
      <c r="G311" s="408"/>
      <c r="H311" s="1508"/>
      <c r="I311" s="659"/>
      <c r="J311" s="579"/>
      <c r="K311" s="1508"/>
      <c r="L311" s="222"/>
      <c r="M311" s="349"/>
      <c r="N311" s="342"/>
      <c r="O311" s="1632"/>
      <c r="P311" s="1632"/>
      <c r="AH311" s="1639">
        <v>0</v>
      </c>
    </row>
    <row s="1643" customFormat="1" customHeight="1" ht="18.75" hidden="1">
      <c r="A312" s="1787" t="s">
        <v>267</v>
      </c>
      <c r="B312" s="1787" t="s">
        <v>268</v>
      </c>
      <c r="C312" s="377"/>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7"/>
      <c r="I312" s="1746"/>
      <c r="J312" s="1780"/>
      <c r="K312" s="1785"/>
      <c r="L312" s="1867" t="s">
        <v>323</v>
      </c>
      <c r="M312" s="349"/>
      <c r="N312" s="342"/>
      <c r="O312" s="1632"/>
      <c r="P312" s="1632"/>
      <c r="AH312" s="1639">
        <v>0</v>
      </c>
    </row>
    <row s="1643" customFormat="1" customHeight="1" ht="18.75" hidden="1">
      <c r="A313" s="1787"/>
      <c r="B313" s="1787"/>
      <c r="C313" s="377" t="s">
        <v>1353</v>
      </c>
      <c r="D313" s="2483"/>
      <c r="E313" s="2225"/>
      <c r="F313" s="2404"/>
      <c r="G313" s="2448"/>
      <c r="H313" s="1508"/>
      <c r="I313" s="659" t="s">
        <v>1352</v>
      </c>
      <c r="J313" s="579"/>
      <c r="K313" s="1508"/>
      <c r="L313" s="222"/>
      <c r="M313" s="349"/>
      <c r="N313" s="342"/>
      <c r="O313" s="1632"/>
      <c r="P313" s="1632"/>
      <c r="AH313" s="1639">
        <v>0</v>
      </c>
    </row>
    <row s="1643" customFormat="1" customHeight="1" ht="0.75" hidden="1">
      <c r="A314" s="1787"/>
      <c r="B314" s="1787"/>
      <c r="C314" s="377" t="s">
        <v>1360</v>
      </c>
      <c r="D314" s="2483"/>
      <c r="E314" s="2225"/>
      <c r="F314" s="2404"/>
      <c r="G314" s="408"/>
      <c r="H314" s="1508"/>
      <c r="I314" s="659"/>
      <c r="J314" s="579"/>
      <c r="K314" s="1508"/>
      <c r="L314" s="222"/>
      <c r="M314" s="349"/>
      <c r="N314" s="342"/>
      <c r="O314" s="1632"/>
      <c r="P314" s="1632"/>
      <c r="AH314" s="1639">
        <v>0</v>
      </c>
    </row>
    <row s="1643" customFormat="1" customHeight="1" ht="18.75" hidden="1">
      <c r="A315" s="1787" t="s">
        <v>272</v>
      </c>
      <c r="B315" s="1787" t="s">
        <v>273</v>
      </c>
      <c r="C315" s="377"/>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7"/>
      <c r="I315" s="1746"/>
      <c r="J315" s="1780"/>
      <c r="K315" s="1785"/>
      <c r="L315" s="1867" t="s">
        <v>323</v>
      </c>
      <c r="M315" s="349"/>
      <c r="N315" s="342"/>
      <c r="O315" s="1632"/>
      <c r="P315" s="1632"/>
      <c r="AH315" s="1639">
        <v>0</v>
      </c>
    </row>
    <row s="1643" customFormat="1" customHeight="1" ht="18.75" hidden="1">
      <c r="A316" s="1787"/>
      <c r="B316" s="1787"/>
      <c r="C316" s="377" t="s">
        <v>1353</v>
      </c>
      <c r="D316" s="2483"/>
      <c r="E316" s="2225"/>
      <c r="F316" s="2404"/>
      <c r="G316" s="2448"/>
      <c r="H316" s="1508"/>
      <c r="I316" s="659" t="s">
        <v>1352</v>
      </c>
      <c r="J316" s="579"/>
      <c r="K316" s="1508"/>
      <c r="L316" s="222"/>
      <c r="M316" s="349"/>
      <c r="N316" s="342"/>
      <c r="O316" s="1632"/>
      <c r="P316" s="1632"/>
      <c r="AH316" s="1639">
        <v>0</v>
      </c>
    </row>
    <row s="1643" customFormat="1" customHeight="1" ht="0.75" hidden="1">
      <c r="A317" s="1787"/>
      <c r="B317" s="1787"/>
      <c r="C317" s="377" t="s">
        <v>1360</v>
      </c>
      <c r="D317" s="2483"/>
      <c r="E317" s="2225"/>
      <c r="F317" s="2404"/>
      <c r="G317" s="408"/>
      <c r="H317" s="1508"/>
      <c r="I317" s="659"/>
      <c r="J317" s="579"/>
      <c r="K317" s="1508"/>
      <c r="L317" s="222"/>
      <c r="M317" s="349"/>
      <c r="N317" s="342"/>
      <c r="O317" s="1632"/>
      <c r="P317" s="1632"/>
      <c r="AH317" s="1639">
        <v>0</v>
      </c>
    </row>
    <row s="1643" customFormat="1" customHeight="1" ht="18.75" hidden="1">
      <c r="A318" s="1787" t="s">
        <v>277</v>
      </c>
      <c r="B318" s="1787" t="s">
        <v>278</v>
      </c>
      <c r="C318" s="377"/>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7"/>
      <c r="I318" s="1746"/>
      <c r="J318" s="1780"/>
      <c r="K318" s="1785"/>
      <c r="L318" s="1867" t="s">
        <v>323</v>
      </c>
      <c r="M318" s="349"/>
      <c r="N318" s="342"/>
      <c r="O318" s="1632"/>
      <c r="P318" s="1632"/>
      <c r="AH318" s="1639">
        <v>0</v>
      </c>
    </row>
    <row s="1643" customFormat="1" customHeight="1" ht="18.75" hidden="1">
      <c r="A319" s="1787"/>
      <c r="B319" s="1787"/>
      <c r="C319" s="377" t="s">
        <v>1353</v>
      </c>
      <c r="D319" s="2483"/>
      <c r="E319" s="2225"/>
      <c r="F319" s="2404"/>
      <c r="G319" s="2448"/>
      <c r="H319" s="1508"/>
      <c r="I319" s="659" t="s">
        <v>1352</v>
      </c>
      <c r="J319" s="579"/>
      <c r="K319" s="1508"/>
      <c r="L319" s="222"/>
      <c r="M319" s="349"/>
      <c r="N319" s="342"/>
      <c r="O319" s="1632"/>
      <c r="P319" s="1632"/>
      <c r="AH319" s="1639">
        <v>0</v>
      </c>
    </row>
    <row s="1643" customFormat="1" customHeight="1" ht="0.75" hidden="1">
      <c r="A320" s="1787"/>
      <c r="B320" s="1787"/>
      <c r="C320" s="377" t="s">
        <v>1360</v>
      </c>
      <c r="D320" s="2483"/>
      <c r="E320" s="2225"/>
      <c r="F320" s="2404"/>
      <c r="G320" s="408"/>
      <c r="H320" s="1508"/>
      <c r="I320" s="659"/>
      <c r="J320" s="579"/>
      <c r="K320" s="1508"/>
      <c r="L320" s="222"/>
      <c r="M320" s="349"/>
      <c r="N320" s="342"/>
      <c r="O320" s="1632"/>
      <c r="P320" s="1632"/>
      <c r="AH320" s="1639">
        <v>0</v>
      </c>
    </row>
    <row s="1643" customFormat="1" customHeight="1" ht="18.75" hidden="1">
      <c r="A321" s="1787" t="s">
        <v>282</v>
      </c>
      <c r="B321" s="1787" t="s">
        <v>283</v>
      </c>
      <c r="C321" s="377"/>
      <c r="D321" s="2483"/>
      <c r="E321" s="2225"/>
      <c r="F321" s="2404" t="str">
        <f>INDEX(PT_DIFFERENTIATION_VTAR,MATCH(A321,PT_DIFFERENTIATION_VTAR_ID,0))</f>
        <v>Тариф на водоотведение</v>
      </c>
      <c r="G321" s="2448" t="str">
        <f>INDEX(PT_DIFFERENTIATION_NTAR,MATCH(B321,PT_DIFFERENTIATION_NTAR_ID,0))</f>
        <v/>
      </c>
      <c r="H321" s="1867"/>
      <c r="I321" s="1746"/>
      <c r="J321" s="1780"/>
      <c r="K321" s="1785"/>
      <c r="L321" s="1867" t="s">
        <v>323</v>
      </c>
      <c r="M321" s="349"/>
      <c r="N321" s="342"/>
      <c r="O321" s="1632"/>
      <c r="P321" s="1632"/>
      <c r="AH321" s="1639">
        <v>0</v>
      </c>
    </row>
    <row s="1643" customFormat="1" customHeight="1" ht="18.75" hidden="1">
      <c r="A322" s="1787"/>
      <c r="B322" s="1787"/>
      <c r="C322" s="377" t="s">
        <v>1353</v>
      </c>
      <c r="D322" s="2483"/>
      <c r="E322" s="2225"/>
      <c r="F322" s="2404"/>
      <c r="G322" s="2448"/>
      <c r="H322" s="1508"/>
      <c r="I322" s="659" t="s">
        <v>1352</v>
      </c>
      <c r="J322" s="579"/>
      <c r="K322" s="1508"/>
      <c r="L322" s="222"/>
      <c r="M322" s="349"/>
      <c r="N322" s="342"/>
      <c r="O322" s="1632"/>
      <c r="P322" s="1632"/>
      <c r="AH322" s="1639">
        <v>0</v>
      </c>
    </row>
    <row s="1643" customFormat="1" customHeight="1" ht="0.75" hidden="1">
      <c r="A323" s="1787"/>
      <c r="B323" s="1787"/>
      <c r="C323" s="377" t="s">
        <v>1360</v>
      </c>
      <c r="D323" s="2483"/>
      <c r="E323" s="2225"/>
      <c r="F323" s="2404"/>
      <c r="G323" s="408"/>
      <c r="H323" s="1508"/>
      <c r="I323" s="659"/>
      <c r="J323" s="579"/>
      <c r="K323" s="1508"/>
      <c r="L323" s="222"/>
      <c r="M323" s="349"/>
      <c r="N323" s="342"/>
      <c r="O323" s="1632"/>
      <c r="P323" s="1632"/>
      <c r="AH323" s="1639">
        <v>0</v>
      </c>
    </row>
    <row s="1643" customFormat="1" customHeight="1" ht="18.75" hidden="1">
      <c r="A324" s="1787" t="s">
        <v>287</v>
      </c>
      <c r="B324" s="1787" t="s">
        <v>288</v>
      </c>
      <c r="C324" s="377"/>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7"/>
      <c r="I324" s="1746"/>
      <c r="J324" s="1780"/>
      <c r="K324" s="1785"/>
      <c r="L324" s="1867" t="s">
        <v>323</v>
      </c>
      <c r="M324" s="349"/>
      <c r="N324" s="342"/>
      <c r="O324" s="1632"/>
      <c r="P324" s="1632"/>
      <c r="AH324" s="1639">
        <v>0</v>
      </c>
    </row>
    <row s="1643" customFormat="1" customHeight="1" ht="18.75" hidden="1">
      <c r="A325" s="1787"/>
      <c r="B325" s="1787"/>
      <c r="C325" s="377" t="s">
        <v>1353</v>
      </c>
      <c r="D325" s="2483"/>
      <c r="E325" s="2225"/>
      <c r="F325" s="2404"/>
      <c r="G325" s="2448"/>
      <c r="H325" s="1508"/>
      <c r="I325" s="659" t="s">
        <v>1352</v>
      </c>
      <c r="J325" s="579"/>
      <c r="K325" s="1508"/>
      <c r="L325" s="222"/>
      <c r="M325" s="349"/>
      <c r="N325" s="342"/>
      <c r="O325" s="1632"/>
      <c r="P325" s="1632"/>
      <c r="AH325" s="1639">
        <v>0</v>
      </c>
    </row>
    <row s="1643" customFormat="1" customHeight="1" ht="0.75" hidden="1">
      <c r="A326" s="1787"/>
      <c r="B326" s="1787"/>
      <c r="C326" s="377" t="s">
        <v>1360</v>
      </c>
      <c r="D326" s="2483"/>
      <c r="E326" s="2225"/>
      <c r="F326" s="2404"/>
      <c r="G326" s="408"/>
      <c r="H326" s="1508"/>
      <c r="I326" s="659"/>
      <c r="J326" s="579"/>
      <c r="K326" s="1508"/>
      <c r="L326" s="222"/>
      <c r="M326" s="349"/>
      <c r="N326" s="342"/>
      <c r="O326" s="1632"/>
      <c r="P326" s="1632"/>
      <c r="AH326" s="1639">
        <v>0</v>
      </c>
    </row>
    <row s="1643" customFormat="1" customHeight="1" ht="18.75" hidden="1">
      <c r="A327" s="1787" t="s">
        <v>292</v>
      </c>
      <c r="B327" s="1787" t="s">
        <v>293</v>
      </c>
      <c r="C327" s="377"/>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7"/>
      <c r="I327" s="1746"/>
      <c r="J327" s="1780"/>
      <c r="K327" s="1785"/>
      <c r="L327" s="1867" t="s">
        <v>323</v>
      </c>
      <c r="M327" s="349"/>
      <c r="N327" s="342"/>
      <c r="O327" s="1632"/>
      <c r="P327" s="1632"/>
      <c r="AH327" s="1639">
        <v>0</v>
      </c>
    </row>
    <row s="1643" customFormat="1" customHeight="1" ht="18.75" hidden="1">
      <c r="A328" s="1787"/>
      <c r="B328" s="1787"/>
      <c r="C328" s="377" t="s">
        <v>1353</v>
      </c>
      <c r="D328" s="2483"/>
      <c r="E328" s="2225"/>
      <c r="F328" s="2404"/>
      <c r="G328" s="2448"/>
      <c r="H328" s="1508"/>
      <c r="I328" s="659" t="s">
        <v>1352</v>
      </c>
      <c r="J328" s="579"/>
      <c r="K328" s="1508"/>
      <c r="L328" s="222"/>
      <c r="M328" s="349"/>
      <c r="N328" s="342"/>
      <c r="O328" s="1632"/>
      <c r="P328" s="1632"/>
      <c r="AH328" s="1639">
        <v>0</v>
      </c>
    </row>
    <row s="1643" customFormat="1" customHeight="1" ht="1.05">
      <c r="A329" s="1787"/>
      <c r="B329" s="1787"/>
      <c r="C329" s="377" t="s">
        <v>1360</v>
      </c>
      <c r="D329" s="2483"/>
      <c r="E329" s="2225"/>
      <c r="F329" s="2404"/>
      <c r="G329" s="408"/>
      <c r="H329" s="1508"/>
      <c r="I329" s="659"/>
      <c r="J329" s="579"/>
      <c r="K329" s="1508"/>
      <c r="L329" s="222"/>
      <c r="M329" s="349"/>
      <c r="N329" s="342"/>
      <c r="O329" s="1632"/>
      <c r="P329" s="1632"/>
      <c r="AH329" s="1639">
        <v>1</v>
      </c>
    </row>
    <row s="1830" customFormat="1" customHeight="1" ht="3">
      <c r="A330" s="1787"/>
      <c r="B330" s="1787"/>
      <c r="C330" s="1788"/>
      <c r="E330" s="410"/>
      <c r="F330" s="410"/>
      <c r="G330" s="410"/>
      <c r="H330" s="410"/>
      <c r="I330" s="410"/>
      <c r="J330" s="410"/>
      <c r="K330" s="410"/>
      <c r="L330" s="410"/>
      <c r="M330" s="410"/>
      <c r="O330" s="204"/>
      <c r="P330" s="204"/>
      <c r="AH330" s="148">
        <v>3</v>
      </c>
    </row>
    <row customHeight="1" ht="26.25">
      <c r="E331" s="210"/>
      <c r="F331" s="2306"/>
      <c r="G331" s="2306"/>
      <c r="H331" s="2306"/>
      <c r="I331" s="2306"/>
      <c r="J331" s="2306"/>
      <c r="K331" s="2306"/>
      <c r="L331" s="2306"/>
      <c r="M331" s="2306"/>
      <c r="AH331" s="382">
        <v>25</v>
      </c>
    </row>
    <row customHeight="1" ht="14.25" hidden="1">
      <c r="A332" s="1786" t="s">
        <v>82</v>
      </c>
      <c r="B332" s="1786">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51CE7-9421-9266-E00F-EF5F90BF647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18"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7" t="s">
        <v>103</v>
      </c>
      <c r="D2" s="1680"/>
      <c r="E2" s="1689"/>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7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6"/>
      <c r="F5" s="2476"/>
      <c r="G5" s="2477"/>
      <c r="H5" s="274"/>
      <c r="R5" s="382">
        <v>33</v>
      </c>
    </row>
    <row s="1643" customFormat="1" customHeight="1" ht="18">
      <c r="A6" s="1676"/>
      <c r="B6" s="1168"/>
      <c r="C6" s="384"/>
      <c r="D6" s="2478" t="str">
        <f>IF(org=0,"Не определено",org)</f>
        <v>АО "ДГК"</v>
      </c>
      <c r="E6" s="2479"/>
      <c r="F6" s="2479"/>
      <c r="G6" s="2480"/>
      <c r="H6" s="274"/>
      <c r="J6" s="1632"/>
      <c r="K6" s="1632"/>
      <c r="R6" s="1639">
        <v>17</v>
      </c>
    </row>
    <row customHeight="1" ht="14.699999999999998">
      <c r="C7" s="384"/>
      <c r="D7" s="371"/>
      <c r="E7" s="397"/>
      <c r="F7" s="397"/>
      <c r="G7" s="760"/>
      <c r="H7" s="201"/>
      <c r="R7" s="382">
        <v>14</v>
      </c>
    </row>
    <row customHeight="1" ht="14.699999999999998">
      <c r="C8" s="384"/>
      <c r="D8" s="2230" t="s">
        <v>317</v>
      </c>
      <c r="E8" s="2230"/>
      <c r="F8" s="2230"/>
      <c r="G8" s="2230"/>
      <c r="H8" s="2410" t="s">
        <v>318</v>
      </c>
      <c r="R8" s="382">
        <v>14</v>
      </c>
    </row>
    <row customHeight="1" ht="24">
      <c r="C9" s="384"/>
      <c r="D9" s="394" t="s">
        <v>88</v>
      </c>
      <c r="E9" s="116" t="s">
        <v>319</v>
      </c>
      <c r="F9" s="116" t="s">
        <v>320</v>
      </c>
      <c r="G9" s="116" t="s">
        <v>407</v>
      </c>
      <c r="H9" s="2410"/>
      <c r="R9" s="382">
        <v>23</v>
      </c>
    </row>
    <row customHeight="1" ht="36.75">
      <c r="A10" s="351"/>
      <c r="C10" s="384"/>
      <c r="D10" s="155" t="s">
        <v>118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t="s">
        <v>1361</v>
      </c>
      <c r="G10" s="2919" t="s">
        <v>1362</v>
      </c>
      <c r="H10" s="2190" t="s">
        <v>1363</v>
      </c>
      <c r="R10" s="382">
        <v>14</v>
      </c>
    </row>
    <row customHeight="1" ht="15">
      <c r="A11" s="351"/>
      <c r="C11" s="384"/>
      <c r="D11" s="155"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t="s">
        <v>1364</v>
      </c>
      <c r="G11" s="221" t="s">
        <v>1362</v>
      </c>
      <c r="H11" s="2191"/>
      <c r="R11" s="382">
        <v>14</v>
      </c>
    </row>
    <row customHeight="1" ht="15">
      <c r="A12" s="110"/>
      <c r="C12" s="395"/>
      <c r="D12" s="155" t="s">
        <v>90</v>
      </c>
      <c r="E12" s="396" t="str">
        <f>"Сведения о планировании закупочных процедур"&amp;IF(TEMPLATE_SPHERE="TKO"," &lt;1&gt;","")</f>
        <v>Сведения о планировании закупочных процедур</v>
      </c>
      <c r="F12" s="265" t="s">
        <v>1364</v>
      </c>
      <c r="G12" s="221" t="s">
        <v>1362</v>
      </c>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5">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t="s">
        <v>1364</v>
      </c>
      <c r="G13" s="221" t="s">
        <v>1362</v>
      </c>
      <c r="H13" s="2191"/>
      <c r="I13" s="358"/>
      <c r="K13" s="382"/>
      <c r="R13" s="382">
        <v>14</v>
      </c>
    </row>
    <row customHeight="1" ht="14.699999999999998">
      <c r="A14" s="351"/>
      <c r="C14" s="384"/>
      <c r="D14" s="355"/>
      <c r="E14" s="403" t="s">
        <v>339</v>
      </c>
      <c r="F14" s="357"/>
      <c r="G14" s="209"/>
      <c r="H14" s="2192"/>
      <c r="R14" s="382">
        <v>14</v>
      </c>
    </row>
    <row s="1643" customFormat="1" customHeight="1" ht="14.699999999999998">
      <c r="A15" s="351"/>
      <c r="B15" s="1168"/>
      <c r="C15" s="384"/>
      <c r="D15" s="404"/>
      <c r="E15" s="1684"/>
      <c r="F15" s="1685"/>
      <c r="G15" s="1686"/>
      <c r="H15" s="1687"/>
      <c r="J15" s="1632"/>
      <c r="K15" s="1632"/>
      <c r="R15" s="1639">
        <v>14</v>
      </c>
    </row>
    <row customHeight="1" ht="14.699999999999998">
      <c r="D16" s="1688"/>
      <c r="E16" s="2406"/>
      <c r="F16" s="2406"/>
      <c r="G16" s="2406"/>
      <c r="H16" s="2406"/>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66BC5AD6-49A7-D414-AA51-738CD880BEBF}"/>
    <hyperlink ref="G11" r:id="rId3" tooltip="https://portal.eias.ru/Portal/DownloadPage.aspx?type=12&amp;guid=026c6f1b-2ad6-4985-a197-b2a3496ef3d1" xr:uid="{5063EC4E-C09D-34BB-BFF6-20AB938DDDAA}"/>
    <hyperlink ref="G12" r:id="rId4" tooltip="https://portal.eias.ru/Portal/DownloadPage.aspx?type=12&amp;guid=026c6f1b-2ad6-4985-a197-b2a3496ef3d1" xr:uid="{A569D4FB-FC88-B327-2F0F-DB7A961F9D11}"/>
    <hyperlink ref="G13" r:id="rId5" tooltip="https://portal.eias.ru/Portal/DownloadPage.aspx?type=12&amp;guid=026c6f1b-2ad6-4985-a197-b2a3496ef3d1" xr:uid="{83FAAEEE-FD88-B20E-AFAE-526C4BC95C0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918DF-DB1E-C58E-7034-EA0B3230517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58"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9"/>
      <c r="F5" s="2179"/>
      <c r="G5" s="2179"/>
      <c r="H5" s="2179"/>
      <c r="I5" s="2179"/>
      <c r="J5" s="2180"/>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84" t="str">
        <f>IF(org=0,"Не определено",org)</f>
        <v>АО "ДГК"</v>
      </c>
      <c r="E6" s="2184"/>
      <c r="F6" s="2184"/>
      <c r="G6" s="2184"/>
      <c r="H6" s="2184"/>
      <c r="I6" s="2184"/>
      <c r="J6" s="2184"/>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81"/>
      <c r="E7" s="2182"/>
      <c r="F7" s="2182"/>
      <c r="G7" s="2182"/>
      <c r="H7" s="2182"/>
      <c r="I7" s="2182"/>
      <c r="J7" s="2183"/>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48" t="s">
        <v>88</v>
      </c>
      <c r="E9" s="2122" t="s">
        <v>141</v>
      </c>
      <c r="F9" s="2124"/>
      <c r="G9" s="2148" t="s">
        <v>114</v>
      </c>
      <c r="H9" s="2148" t="s">
        <v>88</v>
      </c>
      <c r="I9" s="2148"/>
      <c r="J9" s="2148" t="s">
        <v>142</v>
      </c>
      <c r="K9" s="2176" t="s">
        <v>143</v>
      </c>
      <c r="L9" s="2176"/>
      <c r="M9" s="2176"/>
      <c r="N9" s="2176"/>
      <c r="O9" s="2176" t="s">
        <v>144</v>
      </c>
      <c r="P9" s="2176"/>
      <c r="Q9" s="2176"/>
      <c r="R9" s="2176"/>
      <c r="S9" s="2176" t="s">
        <v>145</v>
      </c>
      <c r="T9" s="2176"/>
      <c r="U9" s="2176"/>
      <c r="V9" s="2176"/>
      <c r="W9" s="2148" t="s">
        <v>146</v>
      </c>
      <c r="AR9" s="112">
        <v>27</v>
      </c>
    </row>
    <row customHeight="1" ht="31.5">
      <c r="D10" s="2148"/>
      <c r="E10" s="1292" t="s">
        <v>89</v>
      </c>
      <c r="F10" s="1292" t="s">
        <v>147</v>
      </c>
      <c r="G10" s="2148"/>
      <c r="H10" s="2148"/>
      <c r="I10" s="2148"/>
      <c r="J10" s="2148"/>
      <c r="K10" s="118" t="s">
        <v>117</v>
      </c>
      <c r="L10" s="2148" t="s">
        <v>88</v>
      </c>
      <c r="M10" s="2148"/>
      <c r="N10" s="118" t="s">
        <v>148</v>
      </c>
      <c r="O10" s="118" t="s">
        <v>117</v>
      </c>
      <c r="P10" s="2148" t="s">
        <v>88</v>
      </c>
      <c r="Q10" s="2148"/>
      <c r="R10" s="118" t="s">
        <v>148</v>
      </c>
      <c r="S10" s="291" t="s">
        <v>117</v>
      </c>
      <c r="T10" s="2148" t="s">
        <v>88</v>
      </c>
      <c r="U10" s="2148"/>
      <c r="V10" s="291" t="s">
        <v>89</v>
      </c>
      <c r="W10" s="2148"/>
      <c r="Z10" s="1267" t="s">
        <v>149</v>
      </c>
      <c r="AA10" s="1267" t="s">
        <v>150</v>
      </c>
      <c r="AB10" s="1267" t="s">
        <v>151</v>
      </c>
      <c r="AC10" s="1267" t="s">
        <v>152</v>
      </c>
      <c r="AD10" s="1267" t="s">
        <v>153</v>
      </c>
      <c r="AE10" s="1267" t="s">
        <v>154</v>
      </c>
      <c r="AF10" s="1267" t="s">
        <v>155</v>
      </c>
      <c r="AG10" s="1267" t="s">
        <v>156</v>
      </c>
      <c r="AH10" s="1267" t="s">
        <v>157</v>
      </c>
      <c r="AI10" s="1267" t="s">
        <v>158</v>
      </c>
      <c r="AJ10" s="1267" t="s">
        <v>159</v>
      </c>
      <c r="AK10" s="1267" t="s">
        <v>160</v>
      </c>
      <c r="AL10" s="1267" t="s">
        <v>161</v>
      </c>
      <c r="AM10" s="1267" t="s">
        <v>162</v>
      </c>
      <c r="AN10" s="1267" t="s">
        <v>163</v>
      </c>
      <c r="AO10" s="1267" t="s">
        <v>164</v>
      </c>
      <c r="AP10" s="1267" t="s">
        <v>165</v>
      </c>
      <c r="AQ10" s="1267" t="s">
        <v>166</v>
      </c>
      <c r="AR10" s="112">
        <v>30</v>
      </c>
    </row>
    <row s="1632" customFormat="1" customHeight="1" ht="12" hidden="1">
      <c r="D11" s="1257" t="s">
        <v>118</v>
      </c>
      <c r="E11" s="1257" t="s">
        <v>102</v>
      </c>
      <c r="F11" s="1257"/>
      <c r="G11" s="1257" t="s">
        <v>90</v>
      </c>
      <c r="H11" s="2177" t="s">
        <v>119</v>
      </c>
      <c r="I11" s="2177"/>
      <c r="J11" s="1257" t="s">
        <v>92</v>
      </c>
      <c r="K11" s="1257" t="s">
        <v>93</v>
      </c>
      <c r="L11" s="2177" t="s">
        <v>120</v>
      </c>
      <c r="M11" s="2177"/>
      <c r="N11" s="1257" t="s">
        <v>167</v>
      </c>
      <c r="O11" s="1257" t="s">
        <v>168</v>
      </c>
      <c r="P11" s="2177" t="s">
        <v>169</v>
      </c>
      <c r="Q11" s="2177"/>
      <c r="R11" s="1257" t="s">
        <v>170</v>
      </c>
      <c r="S11" s="1257" t="s">
        <v>169</v>
      </c>
      <c r="T11" s="2177" t="s">
        <v>170</v>
      </c>
      <c r="U11" s="2177"/>
      <c r="V11" s="1257" t="s">
        <v>171</v>
      </c>
      <c r="W11" s="1257" t="s">
        <v>172</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58" customFormat="1" customHeight="1" ht="17.25" hidden="1">
      <c r="A13" s="329"/>
      <c r="C13" s="217"/>
      <c r="D13" s="2156">
        <v>1</v>
      </c>
      <c r="E13" s="2164" t="s">
        <v>173</v>
      </c>
      <c r="F13" s="2166" t="s">
        <v>19</v>
      </c>
      <c r="G13" s="2164"/>
      <c r="H13" s="2169"/>
      <c r="I13" s="2171"/>
      <c r="J13" s="2173"/>
      <c r="K13" s="2158"/>
      <c r="L13" s="2158"/>
      <c r="M13" s="2158"/>
      <c r="N13" s="2160"/>
      <c r="O13" s="2158"/>
      <c r="P13" s="2158"/>
      <c r="Q13" s="2158"/>
      <c r="R13" s="2163"/>
      <c r="S13" s="2158"/>
      <c r="T13" s="1428"/>
      <c r="U13" s="1428"/>
      <c r="V13" s="1427"/>
      <c r="W13" s="1304"/>
      <c r="Y13" s="1275"/>
      <c r="Z13" s="1275"/>
      <c r="AA13" s="1275"/>
      <c r="AB13" s="1275"/>
      <c r="AC13" s="1275" t="s">
        <v>174</v>
      </c>
      <c r="AD13" s="1275" t="s">
        <v>175</v>
      </c>
      <c r="AE13" s="1275" t="s">
        <v>176</v>
      </c>
      <c r="AF13" s="1275" t="s">
        <v>177</v>
      </c>
      <c r="AG13" s="1275" t="s">
        <v>178</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58" customFormat="1" customHeight="1" ht="17.25" hidden="1">
      <c r="A14" s="329"/>
      <c r="C14" s="328"/>
      <c r="D14" s="2156"/>
      <c r="E14" s="2164"/>
      <c r="F14" s="2167"/>
      <c r="G14" s="2164"/>
      <c r="H14" s="2170"/>
      <c r="I14" s="2172"/>
      <c r="J14" s="2174"/>
      <c r="K14" s="2159"/>
      <c r="L14" s="2159"/>
      <c r="M14" s="2159"/>
      <c r="N14" s="2161"/>
      <c r="O14" s="2159"/>
      <c r="P14" s="2159"/>
      <c r="Q14" s="2159"/>
      <c r="R14" s="2162"/>
      <c r="S14" s="2159"/>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58" customFormat="1" customHeight="1" ht="17.25" hidden="1">
      <c r="A15" s="329"/>
      <c r="C15" s="217"/>
      <c r="D15" s="2156"/>
      <c r="E15" s="2164"/>
      <c r="F15" s="2167"/>
      <c r="G15" s="2164"/>
      <c r="H15" s="2170"/>
      <c r="I15" s="2172"/>
      <c r="J15" s="2175"/>
      <c r="K15" s="2159"/>
      <c r="L15" s="2159"/>
      <c r="M15" s="2159"/>
      <c r="N15" s="2162"/>
      <c r="O15" s="2159"/>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58" customFormat="1" customHeight="1" ht="17.25" hidden="1">
      <c r="A16" s="329"/>
      <c r="C16" s="328"/>
      <c r="D16" s="2156"/>
      <c r="E16" s="2164"/>
      <c r="F16" s="2167"/>
      <c r="G16" s="2164"/>
      <c r="H16" s="2170"/>
      <c r="I16" s="2172"/>
      <c r="J16" s="2175"/>
      <c r="K16" s="2159"/>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58" customFormat="1" customHeight="1" ht="17.25" hidden="1">
      <c r="A17" s="329"/>
      <c r="C17" s="328"/>
      <c r="D17" s="2157"/>
      <c r="E17" s="2165"/>
      <c r="F17" s="2168"/>
      <c r="G17" s="2165"/>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58" customFormat="1" customHeight="1" ht="17.25" hidden="1">
      <c r="A18" s="329"/>
      <c r="C18" s="217"/>
      <c r="D18" s="2156">
        <v>2</v>
      </c>
      <c r="E18" s="2185"/>
      <c r="F18" s="2166" t="s">
        <v>19</v>
      </c>
      <c r="G18" s="2164"/>
      <c r="H18" s="2169"/>
      <c r="I18" s="2171"/>
      <c r="J18" s="2173"/>
      <c r="K18" s="2158"/>
      <c r="L18" s="2158"/>
      <c r="M18" s="2158"/>
      <c r="N18" s="2160"/>
      <c r="O18" s="2158"/>
      <c r="P18" s="2158"/>
      <c r="Q18" s="2158"/>
      <c r="R18" s="2163"/>
      <c r="S18" s="2158"/>
      <c r="T18" s="1428"/>
      <c r="U18" s="1428"/>
      <c r="V18" s="1427"/>
      <c r="W18" s="1304"/>
      <c r="X18" s="1275"/>
      <c r="Y18" s="1275"/>
      <c r="Z18" s="1275"/>
      <c r="AA18" s="1275"/>
      <c r="AB18" s="1275"/>
      <c r="AC18" s="1275" t="s">
        <v>179</v>
      </c>
      <c r="AD18" s="1275" t="s">
        <v>180</v>
      </c>
      <c r="AE18" s="1275" t="s">
        <v>181</v>
      </c>
      <c r="AF18" s="1275" t="s">
        <v>182</v>
      </c>
      <c r="AG18" s="1275" t="s">
        <v>183</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79">
        <f>$I$18</f>
        <v>0</v>
      </c>
      <c r="AO18" s="1275" t="str">
        <f>$I$18&amp;"."&amp;$M$18</f>
        <v>.</v>
      </c>
      <c r="AP18" s="1267" t="str">
        <f>$I$18&amp;"."&amp;$M$18&amp;"."&amp;$Q$18</f>
        <v>..</v>
      </c>
      <c r="AQ18" s="1267" t="str">
        <f>$I$18&amp;"."&amp;$M$18&amp;"."&amp;$Q$18&amp;"."&amp;$U$18</f>
        <v>...</v>
      </c>
      <c r="AR18" s="1291">
        <v>0</v>
      </c>
    </row>
    <row s="1858" customFormat="1" customHeight="1" ht="17.25" hidden="1">
      <c r="A19" s="329"/>
      <c r="C19" s="328"/>
      <c r="D19" s="2156"/>
      <c r="E19" s="2185"/>
      <c r="F19" s="2167"/>
      <c r="G19" s="2164"/>
      <c r="H19" s="2170"/>
      <c r="I19" s="2172"/>
      <c r="J19" s="2174"/>
      <c r="K19" s="2159"/>
      <c r="L19" s="2159"/>
      <c r="M19" s="2159"/>
      <c r="N19" s="2161"/>
      <c r="O19" s="2159"/>
      <c r="P19" s="2159"/>
      <c r="Q19" s="2159"/>
      <c r="R19" s="2162"/>
      <c r="S19" s="2159"/>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58" customFormat="1" customHeight="1" ht="17.25" hidden="1">
      <c r="A20" s="329"/>
      <c r="C20" s="328"/>
      <c r="D20" s="2157"/>
      <c r="E20" s="2186"/>
      <c r="F20" s="2167"/>
      <c r="G20" s="2165"/>
      <c r="H20" s="2170"/>
      <c r="I20" s="2172"/>
      <c r="J20" s="2175"/>
      <c r="K20" s="2159"/>
      <c r="L20" s="2159"/>
      <c r="M20" s="2159"/>
      <c r="N20" s="2162"/>
      <c r="O20" s="2159"/>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58" customFormat="1" customHeight="1" ht="17.25" hidden="1">
      <c r="A21" s="329"/>
      <c r="C21" s="328"/>
      <c r="D21" s="2157"/>
      <c r="E21" s="2186"/>
      <c r="F21" s="2167"/>
      <c r="G21" s="2165"/>
      <c r="H21" s="2170"/>
      <c r="I21" s="2172"/>
      <c r="J21" s="2175"/>
      <c r="K21" s="2159"/>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58" customFormat="1" customHeight="1" ht="17.25" hidden="1">
      <c r="A22" s="329"/>
      <c r="C22" s="328"/>
      <c r="D22" s="2157"/>
      <c r="E22" s="2186"/>
      <c r="F22" s="2168"/>
      <c r="G22" s="2165"/>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58" customFormat="1" customHeight="1" ht="17.25" hidden="1">
      <c r="A23" s="329"/>
      <c r="C23" s="217"/>
      <c r="D23" s="2156">
        <v>2</v>
      </c>
      <c r="E23" s="2164" t="s">
        <v>184</v>
      </c>
      <c r="F23" s="2166" t="s">
        <v>19</v>
      </c>
      <c r="G23" s="2164"/>
      <c r="H23" s="2169"/>
      <c r="I23" s="2171"/>
      <c r="J23" s="2173"/>
      <c r="K23" s="2158"/>
      <c r="L23" s="2158"/>
      <c r="M23" s="2158"/>
      <c r="N23" s="2160"/>
      <c r="O23" s="2158"/>
      <c r="P23" s="2158"/>
      <c r="Q23" s="2158"/>
      <c r="R23" s="2163"/>
      <c r="S23" s="2158"/>
      <c r="T23" s="2003"/>
      <c r="U23" s="2003"/>
      <c r="V23" s="2005"/>
      <c r="W23" s="1304"/>
      <c r="X23" s="1275"/>
      <c r="Y23" s="1275"/>
      <c r="Z23" s="1275"/>
      <c r="AA23" s="1275"/>
      <c r="AB23" s="1275"/>
      <c r="AC23" s="1275" t="s">
        <v>179</v>
      </c>
      <c r="AD23" s="1275" t="s">
        <v>180</v>
      </c>
      <c r="AE23" s="1275" t="s">
        <v>181</v>
      </c>
      <c r="AF23" s="1275" t="s">
        <v>182</v>
      </c>
      <c r="AG23" s="1275" t="s">
        <v>183</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79">
        <f>$I$23</f>
        <v>0</v>
      </c>
      <c r="AO23" s="1275" t="str">
        <f>$I$23&amp;"."&amp;$M$23</f>
        <v>.</v>
      </c>
      <c r="AP23" s="1274" t="str">
        <f>$I$23&amp;"."&amp;$M$23&amp;"."&amp;$Q$23</f>
        <v>..</v>
      </c>
      <c r="AQ23" s="1274" t="str">
        <f>$I$23&amp;"."&amp;$M$23&amp;"."&amp;$Q$23&amp;"."&amp;$U$23</f>
        <v>...</v>
      </c>
      <c r="AR23" s="1475">
        <v>0</v>
      </c>
    </row>
    <row s="1858" customFormat="1" customHeight="1" ht="17.25" hidden="1">
      <c r="A24" s="329"/>
      <c r="C24" s="328"/>
      <c r="D24" s="2156"/>
      <c r="E24" s="2164"/>
      <c r="F24" s="2167"/>
      <c r="G24" s="2164"/>
      <c r="H24" s="2170"/>
      <c r="I24" s="2172"/>
      <c r="J24" s="2174"/>
      <c r="K24" s="2159"/>
      <c r="L24" s="2159"/>
      <c r="M24" s="2159"/>
      <c r="N24" s="2161"/>
      <c r="O24" s="2159"/>
      <c r="P24" s="2159"/>
      <c r="Q24" s="2159"/>
      <c r="R24" s="2162"/>
      <c r="S24" s="2159"/>
      <c r="T24" s="2008"/>
      <c r="U24" s="2008"/>
      <c r="V24" s="2008"/>
      <c r="W24" s="2009"/>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58" customFormat="1" customHeight="1" ht="17.25" hidden="1">
      <c r="A25" s="329"/>
      <c r="C25" s="328"/>
      <c r="D25" s="2157"/>
      <c r="E25" s="2165"/>
      <c r="F25" s="2167"/>
      <c r="G25" s="2165"/>
      <c r="H25" s="2170"/>
      <c r="I25" s="2172"/>
      <c r="J25" s="2175"/>
      <c r="K25" s="2159"/>
      <c r="L25" s="2159"/>
      <c r="M25" s="2159"/>
      <c r="N25" s="2162"/>
      <c r="O25" s="2159"/>
      <c r="P25" s="2004"/>
      <c r="Q25" s="2008"/>
      <c r="R25" s="2008"/>
      <c r="S25" s="337"/>
      <c r="T25" s="337"/>
      <c r="U25" s="337"/>
      <c r="V25" s="337"/>
      <c r="W25" s="2009"/>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58" customFormat="1" customHeight="1" ht="17.25" hidden="1">
      <c r="A26" s="329"/>
      <c r="C26" s="328"/>
      <c r="D26" s="2157"/>
      <c r="E26" s="2165"/>
      <c r="F26" s="2167"/>
      <c r="G26" s="2165"/>
      <c r="H26" s="2170"/>
      <c r="I26" s="2172"/>
      <c r="J26" s="2175"/>
      <c r="K26" s="2159"/>
      <c r="L26" s="2008"/>
      <c r="M26" s="2008"/>
      <c r="N26" s="2008"/>
      <c r="O26" s="2008"/>
      <c r="P26" s="2008"/>
      <c r="Q26" s="2008"/>
      <c r="R26" s="2008"/>
      <c r="S26" s="337"/>
      <c r="T26" s="337"/>
      <c r="U26" s="337"/>
      <c r="V26" s="337"/>
      <c r="W26" s="2009"/>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58" customFormat="1" customHeight="1" ht="17.25" hidden="1">
      <c r="A27" s="329"/>
      <c r="C27" s="328"/>
      <c r="D27" s="2157"/>
      <c r="E27" s="2165"/>
      <c r="F27" s="2168"/>
      <c r="G27" s="2165"/>
      <c r="H27" s="1307"/>
      <c r="I27" s="2006"/>
      <c r="J27" s="2006"/>
      <c r="K27" s="2006"/>
      <c r="L27" s="2006"/>
      <c r="M27" s="2006"/>
      <c r="N27" s="2006"/>
      <c r="O27" s="2006"/>
      <c r="P27" s="2006"/>
      <c r="Q27" s="2006"/>
      <c r="R27" s="2006"/>
      <c r="S27" s="1309"/>
      <c r="T27" s="1309"/>
      <c r="U27" s="1309"/>
      <c r="V27" s="1309"/>
      <c r="W27" s="2007"/>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58" customFormat="1" customHeight="1" ht="17.25" hidden="1">
      <c r="A28" s="329"/>
      <c r="C28" s="217"/>
      <c r="D28" s="2156">
        <v>3</v>
      </c>
      <c r="E28" s="2164" t="s">
        <v>185</v>
      </c>
      <c r="F28" s="2166" t="s">
        <v>19</v>
      </c>
      <c r="G28" s="2164"/>
      <c r="H28" s="2169"/>
      <c r="I28" s="2171"/>
      <c r="J28" s="2173"/>
      <c r="K28" s="2158"/>
      <c r="L28" s="2158"/>
      <c r="M28" s="2158"/>
      <c r="N28" s="2160"/>
      <c r="O28" s="2158"/>
      <c r="P28" s="2158"/>
      <c r="Q28" s="2158"/>
      <c r="R28" s="2163"/>
      <c r="S28" s="2158"/>
      <c r="T28" s="1428"/>
      <c r="U28" s="1428"/>
      <c r="V28" s="1427"/>
      <c r="W28" s="1304"/>
      <c r="X28" s="1275"/>
      <c r="Y28" s="1275"/>
      <c r="Z28" s="1275"/>
      <c r="AA28" s="1275"/>
      <c r="AB28" s="1275"/>
      <c r="AC28" s="1275" t="s">
        <v>186</v>
      </c>
      <c r="AD28" s="1275" t="s">
        <v>187</v>
      </c>
      <c r="AE28" s="1275" t="s">
        <v>188</v>
      </c>
      <c r="AF28" s="1275" t="s">
        <v>189</v>
      </c>
      <c r="AG28" s="1275" t="s">
        <v>190</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79">
        <f>$I$28</f>
        <v>0</v>
      </c>
      <c r="AO28" s="1275" t="str">
        <f>$I$28&amp;"."&amp;$M$28</f>
        <v>.</v>
      </c>
      <c r="AP28" s="1267" t="str">
        <f>$I$28&amp;"."&amp;$M$28&amp;"."&amp;$Q$28</f>
        <v>..</v>
      </c>
      <c r="AQ28" s="1267" t="str">
        <f>$I$28&amp;"."&amp;$M$28&amp;"."&amp;$Q$28&amp;"."&amp;$U$28</f>
        <v>...</v>
      </c>
      <c r="AR28" s="1291">
        <v>0</v>
      </c>
    </row>
    <row s="1858" customFormat="1" customHeight="1" ht="17.25" hidden="1">
      <c r="A29" s="329"/>
      <c r="C29" s="328"/>
      <c r="D29" s="2156"/>
      <c r="E29" s="2164"/>
      <c r="F29" s="2167"/>
      <c r="G29" s="2164"/>
      <c r="H29" s="2170"/>
      <c r="I29" s="2172"/>
      <c r="J29" s="2174"/>
      <c r="K29" s="2159"/>
      <c r="L29" s="2159"/>
      <c r="M29" s="2159"/>
      <c r="N29" s="2161"/>
      <c r="O29" s="2159"/>
      <c r="P29" s="2159"/>
      <c r="Q29" s="2159"/>
      <c r="R29" s="2162"/>
      <c r="S29" s="2159"/>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58" customFormat="1" customHeight="1" ht="17.25" hidden="1">
      <c r="A30" s="329"/>
      <c r="C30" s="328"/>
      <c r="D30" s="2157"/>
      <c r="E30" s="2165"/>
      <c r="F30" s="2167"/>
      <c r="G30" s="2165"/>
      <c r="H30" s="2170"/>
      <c r="I30" s="2172"/>
      <c r="J30" s="2175"/>
      <c r="K30" s="2159"/>
      <c r="L30" s="2159"/>
      <c r="M30" s="2159"/>
      <c r="N30" s="2162"/>
      <c r="O30" s="2159"/>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58" customFormat="1" customHeight="1" ht="17.25" hidden="1">
      <c r="A31" s="329"/>
      <c r="C31" s="328"/>
      <c r="D31" s="2157"/>
      <c r="E31" s="2165"/>
      <c r="F31" s="2167"/>
      <c r="G31" s="2165"/>
      <c r="H31" s="2170"/>
      <c r="I31" s="2172"/>
      <c r="J31" s="2175"/>
      <c r="K31" s="2159"/>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58" customFormat="1" customHeight="1" ht="17.25" hidden="1">
      <c r="A32" s="329"/>
      <c r="C32" s="328"/>
      <c r="D32" s="2157"/>
      <c r="E32" s="2165"/>
      <c r="F32" s="2168"/>
      <c r="G32" s="2165"/>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58" customFormat="1" customHeight="1" ht="17.25" hidden="1">
      <c r="A33" s="329"/>
      <c r="C33" s="217"/>
      <c r="D33" s="2156">
        <v>4</v>
      </c>
      <c r="E33" s="2164" t="s">
        <v>191</v>
      </c>
      <c r="F33" s="2166" t="s">
        <v>19</v>
      </c>
      <c r="G33" s="2164"/>
      <c r="H33" s="2169"/>
      <c r="I33" s="2171"/>
      <c r="J33" s="2173"/>
      <c r="K33" s="2158"/>
      <c r="L33" s="2158"/>
      <c r="M33" s="2158"/>
      <c r="N33" s="2160"/>
      <c r="O33" s="2158"/>
      <c r="P33" s="2158"/>
      <c r="Q33" s="2158"/>
      <c r="R33" s="2163"/>
      <c r="S33" s="2158"/>
      <c r="T33" s="1428"/>
      <c r="U33" s="1428"/>
      <c r="V33" s="1427"/>
      <c r="W33" s="1304"/>
      <c r="X33" s="1275"/>
      <c r="Y33" s="1275"/>
      <c r="Z33" s="1275"/>
      <c r="AA33" s="1275"/>
      <c r="AB33" s="1275"/>
      <c r="AC33" s="1275" t="s">
        <v>192</v>
      </c>
      <c r="AD33" s="1275" t="s">
        <v>193</v>
      </c>
      <c r="AE33" s="1275" t="s">
        <v>194</v>
      </c>
      <c r="AF33" s="1275" t="s">
        <v>195</v>
      </c>
      <c r="AG33" s="1275" t="s">
        <v>196</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79">
        <f>$I$33</f>
        <v>0</v>
      </c>
      <c r="AO33" s="1275" t="str">
        <f>$I$33&amp;"."&amp;$M$33</f>
        <v>.</v>
      </c>
      <c r="AP33" s="1267" t="str">
        <f>$I$33&amp;"."&amp;$M$33&amp;"."&amp;$Q$33</f>
        <v>..</v>
      </c>
      <c r="AQ33" s="1267" t="str">
        <f>$I$33&amp;"."&amp;$M$33&amp;"."&amp;$Q$33&amp;"."&amp;$U$33</f>
        <v>...</v>
      </c>
      <c r="AR33" s="1291">
        <v>0</v>
      </c>
    </row>
    <row s="1858" customFormat="1" customHeight="1" ht="17.25" hidden="1">
      <c r="A34" s="329"/>
      <c r="C34" s="328"/>
      <c r="D34" s="2156"/>
      <c r="E34" s="2164"/>
      <c r="F34" s="2167"/>
      <c r="G34" s="2164"/>
      <c r="H34" s="2170"/>
      <c r="I34" s="2172"/>
      <c r="J34" s="2174"/>
      <c r="K34" s="2159"/>
      <c r="L34" s="2159"/>
      <c r="M34" s="2159"/>
      <c r="N34" s="2161"/>
      <c r="O34" s="2159"/>
      <c r="P34" s="2159"/>
      <c r="Q34" s="2159"/>
      <c r="R34" s="2162"/>
      <c r="S34" s="2159"/>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58" customFormat="1" customHeight="1" ht="17.25" hidden="1">
      <c r="A35" s="329"/>
      <c r="C35" s="328"/>
      <c r="D35" s="2157"/>
      <c r="E35" s="2165"/>
      <c r="F35" s="2167"/>
      <c r="G35" s="2165"/>
      <c r="H35" s="2170"/>
      <c r="I35" s="2172"/>
      <c r="J35" s="2175"/>
      <c r="K35" s="2159"/>
      <c r="L35" s="2159"/>
      <c r="M35" s="2159"/>
      <c r="N35" s="2162"/>
      <c r="O35" s="2159"/>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58" customFormat="1" customHeight="1" ht="17.25" hidden="1">
      <c r="A36" s="329"/>
      <c r="C36" s="328"/>
      <c r="D36" s="2157"/>
      <c r="E36" s="2165"/>
      <c r="F36" s="2167"/>
      <c r="G36" s="2165"/>
      <c r="H36" s="2170"/>
      <c r="I36" s="2172"/>
      <c r="J36" s="2175"/>
      <c r="K36" s="2159"/>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58" customFormat="1" customHeight="1" ht="17.25" hidden="1">
      <c r="A37" s="329"/>
      <c r="C37" s="328"/>
      <c r="D37" s="2157"/>
      <c r="E37" s="2165"/>
      <c r="F37" s="2168"/>
      <c r="G37" s="2165"/>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58" customFormat="1" customHeight="1" ht="17.25" hidden="1">
      <c r="A38" s="329"/>
      <c r="C38" s="217"/>
      <c r="D38" s="2156">
        <v>5</v>
      </c>
      <c r="E38" s="2164" t="s">
        <v>197</v>
      </c>
      <c r="F38" s="2166" t="s">
        <v>19</v>
      </c>
      <c r="G38" s="2164"/>
      <c r="H38" s="2169"/>
      <c r="I38" s="2171"/>
      <c r="J38" s="2173"/>
      <c r="K38" s="2158"/>
      <c r="L38" s="2158"/>
      <c r="M38" s="2158"/>
      <c r="N38" s="2160"/>
      <c r="O38" s="2158"/>
      <c r="P38" s="2158"/>
      <c r="Q38" s="2158"/>
      <c r="R38" s="2163"/>
      <c r="S38" s="2158"/>
      <c r="T38" s="1428"/>
      <c r="U38" s="1428"/>
      <c r="V38" s="1427"/>
      <c r="W38" s="1304"/>
      <c r="X38" s="1275"/>
      <c r="Y38" s="1275"/>
      <c r="Z38" s="1275"/>
      <c r="AA38" s="1275"/>
      <c r="AB38" s="1275"/>
      <c r="AC38" s="1275" t="s">
        <v>198</v>
      </c>
      <c r="AD38" s="1275" t="s">
        <v>199</v>
      </c>
      <c r="AE38" s="1275" t="s">
        <v>200</v>
      </c>
      <c r="AF38" s="1275" t="s">
        <v>201</v>
      </c>
      <c r="AG38" s="1275" t="s">
        <v>202</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79">
        <f>$I$38</f>
        <v>0</v>
      </c>
      <c r="AO38" s="1275" t="str">
        <f>$I$38&amp;"."&amp;$M$38</f>
        <v>.</v>
      </c>
      <c r="AP38" s="1267" t="str">
        <f>$I$38&amp;"."&amp;$M$38&amp;"."&amp;$Q$38</f>
        <v>..</v>
      </c>
      <c r="AQ38" s="1267" t="str">
        <f>$I$38&amp;"."&amp;$M$38&amp;"."&amp;$Q$38&amp;"."&amp;$U$38</f>
        <v>...</v>
      </c>
      <c r="AR38" s="1291">
        <v>0</v>
      </c>
    </row>
    <row s="1858" customFormat="1" customHeight="1" ht="17.25" hidden="1">
      <c r="A39" s="329"/>
      <c r="C39" s="328"/>
      <c r="D39" s="2156"/>
      <c r="E39" s="2164"/>
      <c r="F39" s="2167"/>
      <c r="G39" s="2164"/>
      <c r="H39" s="2170"/>
      <c r="I39" s="2172"/>
      <c r="J39" s="2174"/>
      <c r="K39" s="2159"/>
      <c r="L39" s="2159"/>
      <c r="M39" s="2159"/>
      <c r="N39" s="2161"/>
      <c r="O39" s="2159"/>
      <c r="P39" s="2159"/>
      <c r="Q39" s="2159"/>
      <c r="R39" s="2162"/>
      <c r="S39" s="2159"/>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58" customFormat="1" customHeight="1" ht="17.25" hidden="1">
      <c r="A40" s="329"/>
      <c r="C40" s="328"/>
      <c r="D40" s="2157"/>
      <c r="E40" s="2165"/>
      <c r="F40" s="2167"/>
      <c r="G40" s="2165"/>
      <c r="H40" s="2170"/>
      <c r="I40" s="2172"/>
      <c r="J40" s="2175"/>
      <c r="K40" s="2159"/>
      <c r="L40" s="2159"/>
      <c r="M40" s="2159"/>
      <c r="N40" s="2162"/>
      <c r="O40" s="2159"/>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58" customFormat="1" customHeight="1" ht="17.25" hidden="1">
      <c r="A41" s="329"/>
      <c r="C41" s="328"/>
      <c r="D41" s="2157"/>
      <c r="E41" s="2165"/>
      <c r="F41" s="2167"/>
      <c r="G41" s="2165"/>
      <c r="H41" s="2170"/>
      <c r="I41" s="2172"/>
      <c r="J41" s="2175"/>
      <c r="K41" s="2159"/>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58" customFormat="1" customHeight="1" ht="17.25" hidden="1">
      <c r="A42" s="329"/>
      <c r="C42" s="328"/>
      <c r="D42" s="2157"/>
      <c r="E42" s="2165"/>
      <c r="F42" s="2168"/>
      <c r="G42" s="2165"/>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58" customFormat="1" customHeight="1" ht="17.25" hidden="1">
      <c r="A43" s="329"/>
      <c r="C43" s="217"/>
      <c r="D43" s="2156">
        <v>6</v>
      </c>
      <c r="E43" s="2164" t="s">
        <v>203</v>
      </c>
      <c r="F43" s="2166" t="s">
        <v>19</v>
      </c>
      <c r="G43" s="2164"/>
      <c r="H43" s="2169"/>
      <c r="I43" s="2171"/>
      <c r="J43" s="2173"/>
      <c r="K43" s="2158"/>
      <c r="L43" s="2158"/>
      <c r="M43" s="2158"/>
      <c r="N43" s="2160"/>
      <c r="O43" s="2158"/>
      <c r="P43" s="2158"/>
      <c r="Q43" s="2158"/>
      <c r="R43" s="2163"/>
      <c r="S43" s="2158"/>
      <c r="T43" s="1428"/>
      <c r="U43" s="1428"/>
      <c r="V43" s="1427"/>
      <c r="W43" s="1304"/>
      <c r="X43" s="1275"/>
      <c r="Y43" s="1275"/>
      <c r="Z43" s="1275"/>
      <c r="AA43" s="1275"/>
      <c r="AB43" s="1275"/>
      <c r="AC43" s="1275" t="s">
        <v>204</v>
      </c>
      <c r="AD43" s="1275" t="s">
        <v>205</v>
      </c>
      <c r="AE43" s="1275" t="s">
        <v>206</v>
      </c>
      <c r="AF43" s="1275" t="s">
        <v>207</v>
      </c>
      <c r="AG43" s="1275" t="s">
        <v>208</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79">
        <f>$I$43</f>
        <v>0</v>
      </c>
      <c r="AO43" s="1275" t="str">
        <f>$I$43&amp;"."&amp;$M$43</f>
        <v>.</v>
      </c>
      <c r="AP43" s="1267" t="str">
        <f>$I$43&amp;"."&amp;$M$43&amp;"."&amp;$Q$43</f>
        <v>..</v>
      </c>
      <c r="AQ43" s="1267" t="str">
        <f>$I$43&amp;"."&amp;$M$43&amp;"."&amp;$Q$43&amp;"."&amp;$U$43</f>
        <v>...</v>
      </c>
      <c r="AR43" s="1291">
        <v>0</v>
      </c>
    </row>
    <row s="1858" customFormat="1" customHeight="1" ht="17.25" hidden="1">
      <c r="A44" s="329"/>
      <c r="C44" s="328"/>
      <c r="D44" s="2156"/>
      <c r="E44" s="2164"/>
      <c r="F44" s="2167"/>
      <c r="G44" s="2164"/>
      <c r="H44" s="2170"/>
      <c r="I44" s="2172"/>
      <c r="J44" s="2174"/>
      <c r="K44" s="2159"/>
      <c r="L44" s="2159"/>
      <c r="M44" s="2159"/>
      <c r="N44" s="2161"/>
      <c r="O44" s="2159"/>
      <c r="P44" s="2159"/>
      <c r="Q44" s="2159"/>
      <c r="R44" s="2162"/>
      <c r="S44" s="2159"/>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58" customFormat="1" customHeight="1" ht="17.25" hidden="1">
      <c r="A45" s="329"/>
      <c r="C45" s="328"/>
      <c r="D45" s="2157"/>
      <c r="E45" s="2165"/>
      <c r="F45" s="2167"/>
      <c r="G45" s="2165"/>
      <c r="H45" s="2170"/>
      <c r="I45" s="2172"/>
      <c r="J45" s="2175"/>
      <c r="K45" s="2159"/>
      <c r="L45" s="2159"/>
      <c r="M45" s="2159"/>
      <c r="N45" s="2162"/>
      <c r="O45" s="2159"/>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58" customFormat="1" customHeight="1" ht="17.25" hidden="1">
      <c r="A46" s="329"/>
      <c r="C46" s="217"/>
      <c r="D46" s="2157"/>
      <c r="E46" s="2165"/>
      <c r="F46" s="2167"/>
      <c r="G46" s="2165"/>
      <c r="H46" s="2170"/>
      <c r="I46" s="2172"/>
      <c r="J46" s="2175"/>
      <c r="K46" s="2159"/>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58" customFormat="1" customHeight="1" ht="17.25" hidden="1">
      <c r="A47" s="329"/>
      <c r="C47" s="328"/>
      <c r="D47" s="2157"/>
      <c r="E47" s="2165"/>
      <c r="F47" s="2168"/>
      <c r="G47" s="2165"/>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58" customFormat="1" customHeight="1" ht="17.25" hidden="1">
      <c r="A48" s="329"/>
      <c r="C48" s="217"/>
      <c r="D48" s="2187">
        <v>7</v>
      </c>
      <c r="E48" s="2190" t="s">
        <v>209</v>
      </c>
      <c r="F48" s="2166" t="s">
        <v>19</v>
      </c>
      <c r="G48" s="2190"/>
      <c r="H48" s="2169"/>
      <c r="I48" s="2171"/>
      <c r="J48" s="2173"/>
      <c r="K48" s="2158"/>
      <c r="L48" s="2158"/>
      <c r="M48" s="2158"/>
      <c r="N48" s="2160"/>
      <c r="O48" s="2158"/>
      <c r="P48" s="2158"/>
      <c r="Q48" s="2158"/>
      <c r="R48" s="2163"/>
      <c r="S48" s="2158"/>
      <c r="T48" s="1428"/>
      <c r="U48" s="1428"/>
      <c r="V48" s="1427"/>
      <c r="W48" s="1304"/>
      <c r="X48" s="1275"/>
      <c r="Y48" s="1275"/>
      <c r="Z48" s="1275"/>
      <c r="AA48" s="1275"/>
      <c r="AB48" s="1275"/>
      <c r="AC48" s="1275" t="s">
        <v>210</v>
      </c>
      <c r="AD48" s="1275" t="s">
        <v>211</v>
      </c>
      <c r="AE48" s="1275" t="s">
        <v>212</v>
      </c>
      <c r="AF48" s="1275" t="s">
        <v>213</v>
      </c>
      <c r="AG48" s="1275" t="s">
        <v>214</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79">
        <f>$I$48</f>
        <v>0</v>
      </c>
      <c r="AO48" s="1275" t="str">
        <f>$I$48&amp;"."&amp;$M$48</f>
        <v>.</v>
      </c>
      <c r="AP48" s="1267" t="str">
        <f>$I$48&amp;"."&amp;$M$48&amp;"."&amp;$Q$48</f>
        <v>..</v>
      </c>
      <c r="AQ48" s="1267" t="str">
        <f>$I$48&amp;"."&amp;$M$48&amp;"."&amp;$Q$48&amp;"."&amp;$U$48</f>
        <v>...</v>
      </c>
      <c r="AR48" s="1316">
        <v>0</v>
      </c>
    </row>
    <row s="1858" customFormat="1" customHeight="1" ht="17.25" hidden="1">
      <c r="A49" s="329"/>
      <c r="C49" s="328"/>
      <c r="D49" s="2188"/>
      <c r="E49" s="2191"/>
      <c r="F49" s="2167"/>
      <c r="G49" s="2191"/>
      <c r="H49" s="2170"/>
      <c r="I49" s="2172"/>
      <c r="J49" s="2174"/>
      <c r="K49" s="2159"/>
      <c r="L49" s="2159"/>
      <c r="M49" s="2159"/>
      <c r="N49" s="2161"/>
      <c r="O49" s="2159"/>
      <c r="P49" s="2159"/>
      <c r="Q49" s="2159"/>
      <c r="R49" s="2162"/>
      <c r="S49" s="2159"/>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58" customFormat="1" customHeight="1" ht="17.25" hidden="1">
      <c r="A50" s="329"/>
      <c r="C50" s="328"/>
      <c r="D50" s="2188"/>
      <c r="E50" s="2191"/>
      <c r="F50" s="2167"/>
      <c r="G50" s="2191"/>
      <c r="H50" s="2170"/>
      <c r="I50" s="2172"/>
      <c r="J50" s="2175"/>
      <c r="K50" s="2159"/>
      <c r="L50" s="2159"/>
      <c r="M50" s="2159"/>
      <c r="N50" s="2162"/>
      <c r="O50" s="2159"/>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58" customFormat="1" customHeight="1" ht="17.25" hidden="1">
      <c r="A51" s="329"/>
      <c r="C51" s="217"/>
      <c r="D51" s="2188"/>
      <c r="E51" s="2191"/>
      <c r="F51" s="2167"/>
      <c r="G51" s="2191"/>
      <c r="H51" s="2170"/>
      <c r="I51" s="2172"/>
      <c r="J51" s="2175"/>
      <c r="K51" s="2159"/>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58" customFormat="1" customHeight="1" ht="17.25" hidden="1">
      <c r="A52" s="329"/>
      <c r="C52" s="328"/>
      <c r="D52" s="2189"/>
      <c r="E52" s="2192"/>
      <c r="F52" s="2168"/>
      <c r="G52" s="2192"/>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58" customFormat="1" customHeight="1" ht="17.25" hidden="1">
      <c r="A53" s="329"/>
      <c r="C53" s="217"/>
      <c r="D53" s="2156">
        <v>8</v>
      </c>
      <c r="E53" s="2164" t="s">
        <v>215</v>
      </c>
      <c r="F53" s="2166" t="s">
        <v>19</v>
      </c>
      <c r="G53" s="2164"/>
      <c r="H53" s="2169"/>
      <c r="I53" s="2171"/>
      <c r="J53" s="2173"/>
      <c r="K53" s="2158"/>
      <c r="L53" s="2158"/>
      <c r="M53" s="2158"/>
      <c r="N53" s="2160"/>
      <c r="O53" s="2158"/>
      <c r="P53" s="2158"/>
      <c r="Q53" s="2158"/>
      <c r="R53" s="2163"/>
      <c r="S53" s="2158"/>
      <c r="T53" s="1478"/>
      <c r="U53" s="1478"/>
      <c r="V53" s="1480"/>
      <c r="W53" s="1304"/>
      <c r="X53" s="1275"/>
      <c r="Y53" s="1275"/>
      <c r="Z53" s="1275"/>
      <c r="AA53" s="1275"/>
      <c r="AB53" s="1275"/>
      <c r="AC53" s="1275" t="s">
        <v>216</v>
      </c>
      <c r="AD53" s="1275" t="s">
        <v>217</v>
      </c>
      <c r="AE53" s="1275" t="s">
        <v>218</v>
      </c>
      <c r="AF53" s="1275" t="s">
        <v>219</v>
      </c>
      <c r="AG53" s="1275" t="s">
        <v>220</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79">
        <f>$I$53</f>
        <v>0</v>
      </c>
      <c r="AO53" s="1275" t="str">
        <f>$I$53&amp;"."&amp;$M$53</f>
        <v>.</v>
      </c>
      <c r="AP53" s="1267" t="str">
        <f>$I$53&amp;"."&amp;$M$53&amp;"."&amp;$Q$53</f>
        <v>..</v>
      </c>
      <c r="AQ53" s="1267" t="str">
        <f>$I$53&amp;"."&amp;$M$53&amp;"."&amp;$Q$53&amp;"."&amp;$U$53</f>
        <v>...</v>
      </c>
      <c r="AR53" s="1316">
        <v>0</v>
      </c>
    </row>
    <row s="1858" customFormat="1" customHeight="1" ht="17.25" hidden="1">
      <c r="A54" s="329"/>
      <c r="C54" s="328"/>
      <c r="D54" s="2156"/>
      <c r="E54" s="2164"/>
      <c r="F54" s="2167"/>
      <c r="G54" s="2164"/>
      <c r="H54" s="2170"/>
      <c r="I54" s="2172"/>
      <c r="J54" s="2174"/>
      <c r="K54" s="2159"/>
      <c r="L54" s="2159"/>
      <c r="M54" s="2159"/>
      <c r="N54" s="2161"/>
      <c r="O54" s="2159"/>
      <c r="P54" s="2159"/>
      <c r="Q54" s="2159"/>
      <c r="R54" s="2162"/>
      <c r="S54" s="2159"/>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58" customFormat="1" customHeight="1" ht="17.25" hidden="1">
      <c r="A55" s="329"/>
      <c r="C55" s="328"/>
      <c r="D55" s="2157"/>
      <c r="E55" s="2165"/>
      <c r="F55" s="2167"/>
      <c r="G55" s="2165"/>
      <c r="H55" s="2170"/>
      <c r="I55" s="2172"/>
      <c r="J55" s="2175"/>
      <c r="K55" s="2159"/>
      <c r="L55" s="2159"/>
      <c r="M55" s="2159"/>
      <c r="N55" s="2162"/>
      <c r="O55" s="2159"/>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58" customFormat="1" customHeight="1" ht="17.25" hidden="1">
      <c r="A56" s="329"/>
      <c r="C56" s="217"/>
      <c r="D56" s="2157"/>
      <c r="E56" s="2165"/>
      <c r="F56" s="2167"/>
      <c r="G56" s="2165"/>
      <c r="H56" s="2170"/>
      <c r="I56" s="2172"/>
      <c r="J56" s="2175"/>
      <c r="K56" s="2159"/>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58" customFormat="1" customHeight="1" ht="17.25" hidden="1">
      <c r="A57" s="329"/>
      <c r="C57" s="328"/>
      <c r="D57" s="2157"/>
      <c r="E57" s="2165"/>
      <c r="F57" s="2168"/>
      <c r="G57" s="2165"/>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58" customFormat="1" customHeight="1" ht="17.25" hidden="1">
      <c r="A58" s="329"/>
      <c r="C58" s="217"/>
      <c r="D58" s="2156">
        <v>9</v>
      </c>
      <c r="E58" s="2164" t="s">
        <v>221</v>
      </c>
      <c r="F58" s="2166" t="s">
        <v>19</v>
      </c>
      <c r="G58" s="2164"/>
      <c r="H58" s="2169"/>
      <c r="I58" s="2171"/>
      <c r="J58" s="2173"/>
      <c r="K58" s="2158"/>
      <c r="L58" s="2158"/>
      <c r="M58" s="2158"/>
      <c r="N58" s="2160"/>
      <c r="O58" s="2158"/>
      <c r="P58" s="2158"/>
      <c r="Q58" s="2158"/>
      <c r="R58" s="2163"/>
      <c r="S58" s="2158"/>
      <c r="T58" s="1936"/>
      <c r="U58" s="1936"/>
      <c r="V58" s="1938"/>
      <c r="W58" s="1304"/>
      <c r="X58" s="1275"/>
      <c r="Y58" s="1275"/>
      <c r="Z58" s="1275"/>
      <c r="AA58" s="1275"/>
      <c r="AB58" s="1275"/>
      <c r="AC58" s="1275" t="s">
        <v>222</v>
      </c>
      <c r="AD58" s="1275" t="s">
        <v>223</v>
      </c>
      <c r="AE58" s="1275" t="s">
        <v>224</v>
      </c>
      <c r="AF58" s="1275" t="s">
        <v>225</v>
      </c>
      <c r="AG58" s="1275" t="s">
        <v>226</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79">
        <f>$I$58</f>
        <v>0</v>
      </c>
      <c r="AO58" s="1275" t="str">
        <f>$I$58&amp;"."&amp;$M$58</f>
        <v>.</v>
      </c>
      <c r="AP58" s="1274" t="str">
        <f>$I$58&amp;"."&amp;$M$58&amp;"."&amp;$Q$58</f>
        <v>..</v>
      </c>
      <c r="AQ58" s="1274" t="str">
        <f>$I$58&amp;"."&amp;$M$58&amp;"."&amp;$Q$58&amp;"."&amp;$U$58</f>
        <v>...</v>
      </c>
      <c r="AR58" s="1475">
        <v>0</v>
      </c>
    </row>
    <row s="1858" customFormat="1" customHeight="1" ht="17.25" hidden="1">
      <c r="A59" s="329"/>
      <c r="C59" s="328"/>
      <c r="D59" s="2156"/>
      <c r="E59" s="2164"/>
      <c r="F59" s="2167"/>
      <c r="G59" s="2164"/>
      <c r="H59" s="2170"/>
      <c r="I59" s="2172"/>
      <c r="J59" s="2174"/>
      <c r="K59" s="2159"/>
      <c r="L59" s="2159"/>
      <c r="M59" s="2159"/>
      <c r="N59" s="2161"/>
      <c r="O59" s="2159"/>
      <c r="P59" s="2159"/>
      <c r="Q59" s="2159"/>
      <c r="R59" s="2162"/>
      <c r="S59" s="2159"/>
      <c r="T59" s="1939"/>
      <c r="U59" s="1939"/>
      <c r="V59" s="1939"/>
      <c r="W59" s="1940"/>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58" customFormat="1" customHeight="1" ht="17.25" hidden="1">
      <c r="A60" s="329"/>
      <c r="C60" s="328"/>
      <c r="D60" s="2157"/>
      <c r="E60" s="2165"/>
      <c r="F60" s="2167"/>
      <c r="G60" s="2165"/>
      <c r="H60" s="2170"/>
      <c r="I60" s="2172"/>
      <c r="J60" s="2175"/>
      <c r="K60" s="2159"/>
      <c r="L60" s="2159"/>
      <c r="M60" s="2159"/>
      <c r="N60" s="2162"/>
      <c r="O60" s="2159"/>
      <c r="P60" s="1937"/>
      <c r="Q60" s="1939"/>
      <c r="R60" s="1939"/>
      <c r="S60" s="337"/>
      <c r="T60" s="337"/>
      <c r="U60" s="337"/>
      <c r="V60" s="337"/>
      <c r="W60" s="1940"/>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58" customFormat="1" customHeight="1" ht="17.25" hidden="1">
      <c r="A61" s="329"/>
      <c r="C61" s="217"/>
      <c r="D61" s="2157"/>
      <c r="E61" s="2165"/>
      <c r="F61" s="2167"/>
      <c r="G61" s="2165"/>
      <c r="H61" s="2170"/>
      <c r="I61" s="2172"/>
      <c r="J61" s="2175"/>
      <c r="K61" s="2159"/>
      <c r="L61" s="1939"/>
      <c r="M61" s="1939"/>
      <c r="N61" s="1939"/>
      <c r="O61" s="1939"/>
      <c r="P61" s="1939"/>
      <c r="Q61" s="1939"/>
      <c r="R61" s="1939"/>
      <c r="S61" s="337"/>
      <c r="T61" s="337"/>
      <c r="U61" s="337"/>
      <c r="V61" s="337"/>
      <c r="W61" s="1940"/>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58" customFormat="1" customHeight="1" ht="17.25" hidden="1">
      <c r="A62" s="329"/>
      <c r="C62" s="328"/>
      <c r="D62" s="2157"/>
      <c r="E62" s="2165"/>
      <c r="F62" s="2168"/>
      <c r="G62" s="2165"/>
      <c r="H62" s="1307"/>
      <c r="I62" s="1941"/>
      <c r="J62" s="1941"/>
      <c r="K62" s="1941"/>
      <c r="L62" s="1941"/>
      <c r="M62" s="1941"/>
      <c r="N62" s="1941"/>
      <c r="O62" s="1941"/>
      <c r="P62" s="1941"/>
      <c r="Q62" s="1941"/>
      <c r="R62" s="1941"/>
      <c r="S62" s="1309"/>
      <c r="T62" s="1309"/>
      <c r="U62" s="1309"/>
      <c r="V62" s="1309"/>
      <c r="W62" s="1942"/>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58" customFormat="1" customHeight="1" ht="17.25" hidden="1">
      <c r="A63" s="329"/>
      <c r="C63" s="217"/>
      <c r="D63" s="2156">
        <v>10</v>
      </c>
      <c r="E63" s="2164" t="s">
        <v>227</v>
      </c>
      <c r="F63" s="2166" t="s">
        <v>19</v>
      </c>
      <c r="G63" s="2164"/>
      <c r="H63" s="2169"/>
      <c r="I63" s="2171"/>
      <c r="J63" s="2173"/>
      <c r="K63" s="2158"/>
      <c r="L63" s="2158"/>
      <c r="M63" s="2158"/>
      <c r="N63" s="2160"/>
      <c r="O63" s="2158"/>
      <c r="P63" s="2158"/>
      <c r="Q63" s="2158"/>
      <c r="R63" s="2163"/>
      <c r="S63" s="2158"/>
      <c r="T63" s="1936"/>
      <c r="U63" s="1936"/>
      <c r="V63" s="1938"/>
      <c r="W63" s="1304"/>
      <c r="X63" s="1275"/>
      <c r="Y63" s="1275"/>
      <c r="Z63" s="1275"/>
      <c r="AA63" s="1275"/>
      <c r="AB63" s="1275"/>
      <c r="AC63" s="1275" t="s">
        <v>228</v>
      </c>
      <c r="AD63" s="1275" t="s">
        <v>229</v>
      </c>
      <c r="AE63" s="1275" t="s">
        <v>230</v>
      </c>
      <c r="AF63" s="1275" t="s">
        <v>231</v>
      </c>
      <c r="AG63" s="1275" t="s">
        <v>232</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79">
        <f>$I$63</f>
        <v>0</v>
      </c>
      <c r="AO63" s="1275" t="str">
        <f>$I$63&amp;"."&amp;$M$63</f>
        <v>.</v>
      </c>
      <c r="AP63" s="1274" t="str">
        <f>$I$63&amp;"."&amp;$M$63&amp;"."&amp;$Q$63</f>
        <v>..</v>
      </c>
      <c r="AQ63" s="1274" t="str">
        <f>$I$63&amp;"."&amp;$M$63&amp;"."&amp;$Q$63&amp;"."&amp;$U$63</f>
        <v>...</v>
      </c>
      <c r="AR63" s="1475">
        <v>0</v>
      </c>
    </row>
    <row s="1858" customFormat="1" customHeight="1" ht="17.25" hidden="1">
      <c r="A64" s="329"/>
      <c r="C64" s="328"/>
      <c r="D64" s="2156"/>
      <c r="E64" s="2164"/>
      <c r="F64" s="2167"/>
      <c r="G64" s="2164"/>
      <c r="H64" s="2170"/>
      <c r="I64" s="2172"/>
      <c r="J64" s="2174"/>
      <c r="K64" s="2159"/>
      <c r="L64" s="2159"/>
      <c r="M64" s="2159"/>
      <c r="N64" s="2161"/>
      <c r="O64" s="2159"/>
      <c r="P64" s="2159"/>
      <c r="Q64" s="2159"/>
      <c r="R64" s="2162"/>
      <c r="S64" s="2159"/>
      <c r="T64" s="1939"/>
      <c r="U64" s="1939"/>
      <c r="V64" s="1939"/>
      <c r="W64" s="1940"/>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58" customFormat="1" customHeight="1" ht="17.25" hidden="1">
      <c r="A65" s="329"/>
      <c r="C65" s="328"/>
      <c r="D65" s="2157"/>
      <c r="E65" s="2165"/>
      <c r="F65" s="2167"/>
      <c r="G65" s="2165"/>
      <c r="H65" s="2170"/>
      <c r="I65" s="2172"/>
      <c r="J65" s="2175"/>
      <c r="K65" s="2159"/>
      <c r="L65" s="2159"/>
      <c r="M65" s="2159"/>
      <c r="N65" s="2162"/>
      <c r="O65" s="2159"/>
      <c r="P65" s="1937"/>
      <c r="Q65" s="1939"/>
      <c r="R65" s="1939"/>
      <c r="S65" s="337"/>
      <c r="T65" s="337"/>
      <c r="U65" s="337"/>
      <c r="V65" s="337"/>
      <c r="W65" s="1940"/>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58" customFormat="1" customHeight="1" ht="17.25" hidden="1">
      <c r="A66" s="329"/>
      <c r="C66" s="217"/>
      <c r="D66" s="2157"/>
      <c r="E66" s="2165"/>
      <c r="F66" s="2167"/>
      <c r="G66" s="2165"/>
      <c r="H66" s="2170"/>
      <c r="I66" s="2172"/>
      <c r="J66" s="2175"/>
      <c r="K66" s="2159"/>
      <c r="L66" s="1939"/>
      <c r="M66" s="1939"/>
      <c r="N66" s="1939"/>
      <c r="O66" s="1939"/>
      <c r="P66" s="1939"/>
      <c r="Q66" s="1939"/>
      <c r="R66" s="1939"/>
      <c r="S66" s="337"/>
      <c r="T66" s="337"/>
      <c r="U66" s="337"/>
      <c r="V66" s="337"/>
      <c r="W66" s="1940"/>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58" customFormat="1" customHeight="1" ht="17.25" hidden="1">
      <c r="A67" s="329"/>
      <c r="C67" s="328"/>
      <c r="D67" s="2157"/>
      <c r="E67" s="2165"/>
      <c r="F67" s="2168"/>
      <c r="G67" s="2165"/>
      <c r="H67" s="1307"/>
      <c r="I67" s="1941"/>
      <c r="J67" s="1941"/>
      <c r="K67" s="1941"/>
      <c r="L67" s="1941"/>
      <c r="M67" s="1941"/>
      <c r="N67" s="1941"/>
      <c r="O67" s="1941"/>
      <c r="P67" s="1941"/>
      <c r="Q67" s="1941"/>
      <c r="R67" s="1941"/>
      <c r="S67" s="1309"/>
      <c r="T67" s="1309"/>
      <c r="U67" s="1309"/>
      <c r="V67" s="1309"/>
      <c r="W67" s="1942"/>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95" t="s">
        <v>233</v>
      </c>
      <c r="F69" s="2195"/>
      <c r="G69" s="2195"/>
      <c r="H69" s="2195"/>
      <c r="I69" s="2195"/>
      <c r="J69" s="2195"/>
      <c r="K69" s="2195"/>
      <c r="L69" s="2195"/>
      <c r="M69" s="2195"/>
      <c r="N69" s="2195"/>
      <c r="O69" s="2195"/>
      <c r="P69" s="2195"/>
      <c r="Q69" s="2195"/>
      <c r="R69" s="2195"/>
      <c r="S69" s="2195"/>
      <c r="T69" s="2195"/>
      <c r="U69" s="2195"/>
      <c r="V69" s="2195"/>
      <c r="W69" s="2195"/>
      <c r="AR69" s="112">
        <v>0</v>
      </c>
    </row>
    <row customHeight="1" ht="36.75" hidden="1">
      <c r="E70" s="2193" t="s">
        <v>234</v>
      </c>
      <c r="F70" s="2193"/>
      <c r="G70" s="2194"/>
      <c r="H70" s="2194"/>
      <c r="I70" s="2194"/>
      <c r="J70" s="2194"/>
      <c r="K70" s="2194"/>
      <c r="L70" s="2194"/>
      <c r="M70" s="2194"/>
      <c r="N70" s="2194"/>
      <c r="O70" s="2194"/>
      <c r="P70" s="2194"/>
      <c r="Q70" s="2194"/>
      <c r="R70" s="2194"/>
      <c r="S70" s="2194"/>
      <c r="T70" s="2194"/>
      <c r="U70" s="2194"/>
      <c r="V70" s="2194"/>
      <c r="W70" s="2194"/>
      <c r="AR70" s="112">
        <v>0</v>
      </c>
    </row>
    <row customHeight="1" ht="28.5" hidden="1">
      <c r="E71" s="2193" t="s">
        <v>235</v>
      </c>
      <c r="F71" s="2193"/>
      <c r="G71" s="2194"/>
      <c r="H71" s="2194"/>
      <c r="I71" s="2194"/>
      <c r="J71" s="2194"/>
      <c r="K71" s="2194"/>
      <c r="L71" s="2194"/>
      <c r="M71" s="2194"/>
      <c r="N71" s="2194"/>
      <c r="O71" s="2194"/>
      <c r="P71" s="2194"/>
      <c r="Q71" s="2194"/>
      <c r="R71" s="2194"/>
      <c r="S71" s="2194"/>
      <c r="T71" s="2194"/>
      <c r="U71" s="2194"/>
      <c r="V71" s="2194"/>
      <c r="W71" s="2194"/>
      <c r="AR71" s="112">
        <v>0</v>
      </c>
    </row>
    <row customHeight="1" ht="27" hidden="1">
      <c r="E72" s="2193" t="s">
        <v>236</v>
      </c>
      <c r="F72" s="2193"/>
      <c r="G72" s="2194"/>
      <c r="H72" s="2194"/>
      <c r="I72" s="2194"/>
      <c r="J72" s="2194"/>
      <c r="K72" s="2194"/>
      <c r="L72" s="2194"/>
      <c r="M72" s="2194"/>
      <c r="N72" s="2194"/>
      <c r="O72" s="2194"/>
      <c r="P72" s="2194"/>
      <c r="Q72" s="2194"/>
      <c r="R72" s="2194"/>
      <c r="S72" s="2194"/>
      <c r="T72" s="2194"/>
      <c r="U72" s="2194"/>
      <c r="V72" s="2194"/>
      <c r="W72" s="2194"/>
      <c r="AR72" s="112">
        <v>0</v>
      </c>
    </row>
    <row customHeight="1" ht="17.25" hidden="1">
      <c r="E73" s="2193" t="s">
        <v>237</v>
      </c>
      <c r="F73" s="2193"/>
      <c r="G73" s="2194"/>
      <c r="H73" s="2194"/>
      <c r="I73" s="2194"/>
      <c r="J73" s="2194"/>
      <c r="K73" s="2194"/>
      <c r="L73" s="2194"/>
      <c r="M73" s="2194"/>
      <c r="N73" s="2194"/>
      <c r="O73" s="2194"/>
      <c r="P73" s="2194"/>
      <c r="Q73" s="2194"/>
      <c r="R73" s="2194"/>
      <c r="S73" s="2194"/>
      <c r="T73" s="2194"/>
      <c r="U73" s="2194"/>
      <c r="V73" s="2194"/>
      <c r="W73" s="2194"/>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95" t="s">
        <v>238</v>
      </c>
      <c r="F75" s="2195"/>
      <c r="G75" s="2195"/>
      <c r="H75" s="2195"/>
      <c r="I75" s="2195"/>
      <c r="J75" s="2195"/>
      <c r="K75" s="2195"/>
      <c r="L75" s="2195"/>
      <c r="M75" s="2195"/>
      <c r="N75" s="2195"/>
      <c r="O75" s="2195"/>
      <c r="P75" s="2195"/>
      <c r="Q75" s="2195"/>
      <c r="R75" s="2195"/>
      <c r="S75" s="2195"/>
      <c r="T75" s="2195"/>
      <c r="U75" s="2195"/>
      <c r="V75" s="2195"/>
      <c r="W75" s="2195"/>
      <c r="AR75" s="112">
        <v>0</v>
      </c>
    </row>
    <row customHeight="1" ht="17.25" hidden="1">
      <c r="E76" s="2193" t="s">
        <v>239</v>
      </c>
      <c r="F76" s="2193"/>
      <c r="G76" s="2194"/>
      <c r="H76" s="2194"/>
      <c r="I76" s="2194"/>
      <c r="J76" s="2194"/>
      <c r="K76" s="2194"/>
      <c r="L76" s="2194"/>
      <c r="M76" s="2194"/>
      <c r="N76" s="2194"/>
      <c r="O76" s="2194"/>
      <c r="P76" s="2194"/>
      <c r="Q76" s="2194"/>
      <c r="R76" s="2194"/>
      <c r="S76" s="2194"/>
      <c r="T76" s="2194"/>
      <c r="U76" s="2194"/>
      <c r="V76" s="2194"/>
      <c r="W76" s="2194"/>
      <c r="AR76" s="112">
        <v>0</v>
      </c>
    </row>
    <row customHeight="1" ht="17.25" hidden="1">
      <c r="E77" s="2193" t="s">
        <v>240</v>
      </c>
      <c r="F77" s="2193"/>
      <c r="G77" s="2194"/>
      <c r="H77" s="2194"/>
      <c r="I77" s="2194"/>
      <c r="J77" s="2194"/>
      <c r="K77" s="2194"/>
      <c r="L77" s="2194"/>
      <c r="M77" s="2194"/>
      <c r="N77" s="2194"/>
      <c r="O77" s="2194"/>
      <c r="P77" s="2194"/>
      <c r="Q77" s="2194"/>
      <c r="R77" s="2194"/>
      <c r="S77" s="2194"/>
      <c r="T77" s="2194"/>
      <c r="U77" s="2194"/>
      <c r="V77" s="2194"/>
      <c r="W77" s="2194"/>
      <c r="AR77" s="112">
        <v>0</v>
      </c>
    </row>
    <row s="1858"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58" customFormat="1" customHeight="1" ht="17.25" hidden="1">
      <c r="A79" s="329"/>
      <c r="C79" s="217"/>
      <c r="D79" s="2156">
        <v>1</v>
      </c>
      <c r="E79" s="2164" t="s">
        <v>241</v>
      </c>
      <c r="F79" s="2166" t="s">
        <v>19</v>
      </c>
      <c r="G79" s="2164"/>
      <c r="H79" s="2169"/>
      <c r="I79" s="2171"/>
      <c r="J79" s="2173"/>
      <c r="K79" s="2158"/>
      <c r="L79" s="2158"/>
      <c r="M79" s="2158"/>
      <c r="N79" s="2160"/>
      <c r="O79" s="2158"/>
      <c r="P79" s="2158"/>
      <c r="Q79" s="2158"/>
      <c r="R79" s="2163"/>
      <c r="S79" s="2158"/>
      <c r="T79" s="1478"/>
      <c r="U79" s="1478"/>
      <c r="V79" s="1480"/>
      <c r="W79" s="1304"/>
      <c r="Y79" s="1275"/>
      <c r="Z79" s="1275"/>
      <c r="AA79" s="1275"/>
      <c r="AB79" s="1275"/>
      <c r="AC79" s="1275" t="s">
        <v>242</v>
      </c>
      <c r="AD79" s="1275" t="s">
        <v>243</v>
      </c>
      <c r="AE79" s="1275" t="s">
        <v>244</v>
      </c>
      <c r="AF79" s="1275" t="s">
        <v>245</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58" customFormat="1" customHeight="1" ht="17.25" hidden="1">
      <c r="A80" s="329"/>
      <c r="C80" s="328"/>
      <c r="D80" s="2156"/>
      <c r="E80" s="2164"/>
      <c r="F80" s="2167"/>
      <c r="G80" s="2164"/>
      <c r="H80" s="2170"/>
      <c r="I80" s="2172"/>
      <c r="J80" s="2174"/>
      <c r="K80" s="2159"/>
      <c r="L80" s="2159"/>
      <c r="M80" s="2159"/>
      <c r="N80" s="2161"/>
      <c r="O80" s="2159"/>
      <c r="P80" s="2159"/>
      <c r="Q80" s="2159"/>
      <c r="R80" s="2162"/>
      <c r="S80" s="2159"/>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58" customFormat="1" customHeight="1" ht="17.25" hidden="1">
      <c r="A81" s="329"/>
      <c r="C81" s="217"/>
      <c r="D81" s="2156"/>
      <c r="E81" s="2164"/>
      <c r="F81" s="2167"/>
      <c r="G81" s="2164"/>
      <c r="H81" s="2170"/>
      <c r="I81" s="2172"/>
      <c r="J81" s="2175"/>
      <c r="K81" s="2159"/>
      <c r="L81" s="2159"/>
      <c r="M81" s="2159"/>
      <c r="N81" s="2162"/>
      <c r="O81" s="2159"/>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58" customFormat="1" customHeight="1" ht="17.25" hidden="1">
      <c r="A82" s="329"/>
      <c r="C82" s="328"/>
      <c r="D82" s="2156"/>
      <c r="E82" s="2164"/>
      <c r="F82" s="2167"/>
      <c r="G82" s="2164"/>
      <c r="H82" s="2170"/>
      <c r="I82" s="2172"/>
      <c r="J82" s="2175"/>
      <c r="K82" s="2159"/>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58" customFormat="1" customHeight="1" ht="17.25" hidden="1">
      <c r="A83" s="329"/>
      <c r="C83" s="328"/>
      <c r="D83" s="2157"/>
      <c r="E83" s="2165"/>
      <c r="F83" s="2168"/>
      <c r="G83" s="2165"/>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58" customFormat="1" customHeight="1" ht="17.25" hidden="1">
      <c r="A84" s="329"/>
      <c r="C84" s="217"/>
      <c r="D84" s="2156">
        <v>2</v>
      </c>
      <c r="E84" s="2164" t="s">
        <v>246</v>
      </c>
      <c r="F84" s="2166" t="s">
        <v>19</v>
      </c>
      <c r="G84" s="2164"/>
      <c r="H84" s="2169"/>
      <c r="I84" s="2171"/>
      <c r="J84" s="2173"/>
      <c r="K84" s="2158"/>
      <c r="L84" s="2158"/>
      <c r="M84" s="2158"/>
      <c r="N84" s="2160"/>
      <c r="O84" s="2158"/>
      <c r="P84" s="2158"/>
      <c r="Q84" s="2158"/>
      <c r="R84" s="2163"/>
      <c r="S84" s="2158"/>
      <c r="T84" s="1451"/>
      <c r="U84" s="1451"/>
      <c r="V84" s="1453"/>
      <c r="W84" s="1304"/>
      <c r="X84" s="1275"/>
      <c r="Y84" s="1275"/>
      <c r="Z84" s="1275"/>
      <c r="AA84" s="1275"/>
      <c r="AB84" s="1275"/>
      <c r="AC84" s="1275" t="s">
        <v>247</v>
      </c>
      <c r="AD84" s="1275" t="s">
        <v>248</v>
      </c>
      <c r="AE84" s="1275" t="s">
        <v>249</v>
      </c>
      <c r="AF84" s="1275" t="s">
        <v>250</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79">
        <f>$I$84</f>
        <v>0</v>
      </c>
      <c r="AO84" s="1275" t="str">
        <f>$I$84&amp;"."&amp;$M$84</f>
        <v>.</v>
      </c>
      <c r="AP84" s="1267" t="str">
        <f>$I$84&amp;"."&amp;$M$84&amp;"."&amp;$Q$84</f>
        <v>..</v>
      </c>
      <c r="AQ84" s="1267" t="str">
        <f>$I$84&amp;"."&amp;$M$84&amp;"."&amp;$Q$84&amp;"."&amp;$U$84</f>
        <v>...</v>
      </c>
      <c r="AR84" s="1358">
        <v>0</v>
      </c>
    </row>
    <row s="1858" customFormat="1" customHeight="1" ht="17.25" hidden="1">
      <c r="A85" s="329"/>
      <c r="C85" s="328"/>
      <c r="D85" s="2156"/>
      <c r="E85" s="2164"/>
      <c r="F85" s="2167"/>
      <c r="G85" s="2164"/>
      <c r="H85" s="2170"/>
      <c r="I85" s="2172"/>
      <c r="J85" s="2174"/>
      <c r="K85" s="2159"/>
      <c r="L85" s="2159"/>
      <c r="M85" s="2159"/>
      <c r="N85" s="2161"/>
      <c r="O85" s="2159"/>
      <c r="P85" s="2159"/>
      <c r="Q85" s="2159"/>
      <c r="R85" s="2162"/>
      <c r="S85" s="2159"/>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58" customFormat="1" customHeight="1" ht="17.25" hidden="1">
      <c r="A86" s="329"/>
      <c r="C86" s="328"/>
      <c r="D86" s="2157"/>
      <c r="E86" s="2165"/>
      <c r="F86" s="2167"/>
      <c r="G86" s="2165"/>
      <c r="H86" s="2170"/>
      <c r="I86" s="2172"/>
      <c r="J86" s="2175"/>
      <c r="K86" s="2159"/>
      <c r="L86" s="2159"/>
      <c r="M86" s="2159"/>
      <c r="N86" s="2162"/>
      <c r="O86" s="2159"/>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58" customFormat="1" customHeight="1" ht="17.25" hidden="1">
      <c r="A87" s="329"/>
      <c r="C87" s="328"/>
      <c r="D87" s="2157"/>
      <c r="E87" s="2165"/>
      <c r="F87" s="2167"/>
      <c r="G87" s="2165"/>
      <c r="H87" s="2170"/>
      <c r="I87" s="2172"/>
      <c r="J87" s="2175"/>
      <c r="K87" s="2159"/>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58" customFormat="1" customHeight="1" ht="17.25" hidden="1">
      <c r="A88" s="329"/>
      <c r="C88" s="328"/>
      <c r="D88" s="2157"/>
      <c r="E88" s="2165"/>
      <c r="F88" s="2168"/>
      <c r="G88" s="2165"/>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58" customFormat="1" customHeight="1" ht="17.25" hidden="1">
      <c r="A89" s="329"/>
      <c r="C89" s="217"/>
      <c r="D89" s="2156">
        <v>3</v>
      </c>
      <c r="E89" s="2164" t="s">
        <v>251</v>
      </c>
      <c r="F89" s="2166" t="s">
        <v>19</v>
      </c>
      <c r="G89" s="2164"/>
      <c r="H89" s="2169"/>
      <c r="I89" s="2171"/>
      <c r="J89" s="2173"/>
      <c r="K89" s="2158"/>
      <c r="L89" s="2158"/>
      <c r="M89" s="2158"/>
      <c r="N89" s="2160"/>
      <c r="O89" s="2158"/>
      <c r="P89" s="2158"/>
      <c r="Q89" s="2158"/>
      <c r="R89" s="2163"/>
      <c r="S89" s="2158"/>
      <c r="T89" s="1451"/>
      <c r="U89" s="1451"/>
      <c r="V89" s="1453"/>
      <c r="W89" s="1304"/>
      <c r="X89" s="1275"/>
      <c r="Y89" s="1275"/>
      <c r="Z89" s="1275"/>
      <c r="AA89" s="1275"/>
      <c r="AB89" s="1275"/>
      <c r="AC89" s="1275" t="s">
        <v>252</v>
      </c>
      <c r="AD89" s="1275" t="s">
        <v>253</v>
      </c>
      <c r="AE89" s="1275" t="s">
        <v>254</v>
      </c>
      <c r="AF89" s="1275" t="s">
        <v>255</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79">
        <f>$I$89</f>
        <v>0</v>
      </c>
      <c r="AO89" s="1275" t="str">
        <f>$I$89&amp;"."&amp;$M$89</f>
        <v>.</v>
      </c>
      <c r="AP89" s="1267" t="str">
        <f>$I$89&amp;"."&amp;$M$89&amp;"."&amp;$Q$89</f>
        <v>..</v>
      </c>
      <c r="AQ89" s="1267" t="str">
        <f>$I$89&amp;"."&amp;$M$89&amp;"."&amp;$Q$89&amp;"."&amp;$U$89</f>
        <v>...</v>
      </c>
      <c r="AR89" s="1358">
        <v>0</v>
      </c>
    </row>
    <row s="1858" customFormat="1" customHeight="1" ht="17.25" hidden="1">
      <c r="A90" s="329"/>
      <c r="C90" s="328"/>
      <c r="D90" s="2156"/>
      <c r="E90" s="2164"/>
      <c r="F90" s="2167"/>
      <c r="G90" s="2164"/>
      <c r="H90" s="2170"/>
      <c r="I90" s="2172"/>
      <c r="J90" s="2174"/>
      <c r="K90" s="2159"/>
      <c r="L90" s="2159"/>
      <c r="M90" s="2159"/>
      <c r="N90" s="2161"/>
      <c r="O90" s="2159"/>
      <c r="P90" s="2159"/>
      <c r="Q90" s="2159"/>
      <c r="R90" s="2162"/>
      <c r="S90" s="2159"/>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58" customFormat="1" customHeight="1" ht="17.25" hidden="1">
      <c r="A91" s="329"/>
      <c r="C91" s="328"/>
      <c r="D91" s="2157"/>
      <c r="E91" s="2165"/>
      <c r="F91" s="2167"/>
      <c r="G91" s="2165"/>
      <c r="H91" s="2170"/>
      <c r="I91" s="2172"/>
      <c r="J91" s="2175"/>
      <c r="K91" s="2159"/>
      <c r="L91" s="2159"/>
      <c r="M91" s="2159"/>
      <c r="N91" s="2162"/>
      <c r="O91" s="2159"/>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58" customFormat="1" customHeight="1" ht="17.25" hidden="1">
      <c r="A92" s="329"/>
      <c r="C92" s="328"/>
      <c r="D92" s="2157"/>
      <c r="E92" s="2165"/>
      <c r="F92" s="2167"/>
      <c r="G92" s="2165"/>
      <c r="H92" s="2170"/>
      <c r="I92" s="2172"/>
      <c r="J92" s="2175"/>
      <c r="K92" s="2159"/>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58" customFormat="1" customHeight="1" ht="17.25" hidden="1">
      <c r="A93" s="329"/>
      <c r="C93" s="328"/>
      <c r="D93" s="2157"/>
      <c r="E93" s="2165"/>
      <c r="F93" s="2168"/>
      <c r="G93" s="2165"/>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58" customFormat="1" customHeight="1" ht="17.25" hidden="1">
      <c r="A94" s="329"/>
      <c r="C94" s="217"/>
      <c r="D94" s="2156">
        <v>4</v>
      </c>
      <c r="E94" s="2164" t="s">
        <v>256</v>
      </c>
      <c r="F94" s="2166" t="s">
        <v>19</v>
      </c>
      <c r="G94" s="2164"/>
      <c r="H94" s="2169"/>
      <c r="I94" s="2171"/>
      <c r="J94" s="2173"/>
      <c r="K94" s="2158"/>
      <c r="L94" s="2158"/>
      <c r="M94" s="2158"/>
      <c r="N94" s="2160"/>
      <c r="O94" s="2158"/>
      <c r="P94" s="2158"/>
      <c r="Q94" s="2158"/>
      <c r="R94" s="2163"/>
      <c r="S94" s="2158"/>
      <c r="T94" s="1451"/>
      <c r="U94" s="1451"/>
      <c r="V94" s="1453"/>
      <c r="W94" s="1304"/>
      <c r="X94" s="1275"/>
      <c r="Y94" s="1275"/>
      <c r="Z94" s="1275"/>
      <c r="AA94" s="1275"/>
      <c r="AB94" s="1275"/>
      <c r="AC94" s="1275" t="s">
        <v>257</v>
      </c>
      <c r="AD94" s="1275" t="s">
        <v>258</v>
      </c>
      <c r="AE94" s="1275" t="s">
        <v>259</v>
      </c>
      <c r="AF94" s="1275" t="s">
        <v>260</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79">
        <f>$I$94</f>
        <v>0</v>
      </c>
      <c r="AO94" s="1275" t="str">
        <f>$I$94&amp;"."&amp;$M$94</f>
        <v>.</v>
      </c>
      <c r="AP94" s="1267" t="str">
        <f>$I$94&amp;"."&amp;$M$94&amp;"."&amp;$Q$94</f>
        <v>..</v>
      </c>
      <c r="AQ94" s="1267" t="str">
        <f>$I$94&amp;"."&amp;$M$94&amp;"."&amp;$Q$94&amp;"."&amp;$U$94</f>
        <v>...</v>
      </c>
      <c r="AR94" s="1358">
        <v>0</v>
      </c>
    </row>
    <row s="1858" customFormat="1" customHeight="1" ht="17.25" hidden="1">
      <c r="A95" s="329"/>
      <c r="C95" s="328"/>
      <c r="D95" s="2156"/>
      <c r="E95" s="2164"/>
      <c r="F95" s="2167"/>
      <c r="G95" s="2164"/>
      <c r="H95" s="2170"/>
      <c r="I95" s="2172"/>
      <c r="J95" s="2174"/>
      <c r="K95" s="2159"/>
      <c r="L95" s="2159"/>
      <c r="M95" s="2159"/>
      <c r="N95" s="2161"/>
      <c r="O95" s="2159"/>
      <c r="P95" s="2159"/>
      <c r="Q95" s="2159"/>
      <c r="R95" s="2162"/>
      <c r="S95" s="2159"/>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58" customFormat="1" customHeight="1" ht="17.25" hidden="1">
      <c r="A96" s="329"/>
      <c r="C96" s="328"/>
      <c r="D96" s="2157"/>
      <c r="E96" s="2165"/>
      <c r="F96" s="2167"/>
      <c r="G96" s="2165"/>
      <c r="H96" s="2170"/>
      <c r="I96" s="2172"/>
      <c r="J96" s="2175"/>
      <c r="K96" s="2159"/>
      <c r="L96" s="2159"/>
      <c r="M96" s="2159"/>
      <c r="N96" s="2162"/>
      <c r="O96" s="2159"/>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58" customFormat="1" customHeight="1" ht="17.25" hidden="1">
      <c r="A97" s="329"/>
      <c r="C97" s="328"/>
      <c r="D97" s="2157"/>
      <c r="E97" s="2165"/>
      <c r="F97" s="2167"/>
      <c r="G97" s="2165"/>
      <c r="H97" s="2170"/>
      <c r="I97" s="2172"/>
      <c r="J97" s="2175"/>
      <c r="K97" s="2159"/>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58" customFormat="1" customHeight="1" ht="17.25" hidden="1">
      <c r="A98" s="329"/>
      <c r="C98" s="328"/>
      <c r="D98" s="2157"/>
      <c r="E98" s="2165"/>
      <c r="F98" s="2168"/>
      <c r="G98" s="2165"/>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58" customFormat="1" customHeight="1" ht="17.25" hidden="1">
      <c r="A99" s="329"/>
      <c r="C99" s="217"/>
      <c r="D99" s="2156">
        <v>5</v>
      </c>
      <c r="E99" s="2164" t="s">
        <v>261</v>
      </c>
      <c r="F99" s="2166" t="s">
        <v>19</v>
      </c>
      <c r="G99" s="2164"/>
      <c r="H99" s="2169"/>
      <c r="I99" s="2171"/>
      <c r="J99" s="2173"/>
      <c r="K99" s="2158"/>
      <c r="L99" s="2158"/>
      <c r="M99" s="2158"/>
      <c r="N99" s="2160"/>
      <c r="O99" s="2158"/>
      <c r="P99" s="2158"/>
      <c r="Q99" s="2158"/>
      <c r="R99" s="2163"/>
      <c r="S99" s="2158"/>
      <c r="T99" s="1948"/>
      <c r="U99" s="1948"/>
      <c r="V99" s="1950"/>
      <c r="W99" s="1304"/>
      <c r="X99" s="1275"/>
      <c r="Y99" s="1275"/>
      <c r="Z99" s="1275"/>
      <c r="AA99" s="1275"/>
      <c r="AB99" s="1275"/>
      <c r="AC99" s="1275" t="s">
        <v>262</v>
      </c>
      <c r="AD99" s="1275" t="s">
        <v>263</v>
      </c>
      <c r="AE99" s="1275" t="s">
        <v>264</v>
      </c>
      <c r="AF99" s="1275" t="s">
        <v>265</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79">
        <f>$I$99</f>
        <v>0</v>
      </c>
      <c r="AO99" s="1275" t="str">
        <f>$I$99&amp;"."&amp;$M$99</f>
        <v>.</v>
      </c>
      <c r="AP99" s="1274" t="str">
        <f>$I$99&amp;"."&amp;$M$99&amp;"."&amp;$Q$99</f>
        <v>..</v>
      </c>
      <c r="AQ99" s="1274" t="str">
        <f>$I$99&amp;"."&amp;$M$99&amp;"."&amp;$Q$99&amp;"."&amp;$U$99</f>
        <v>...</v>
      </c>
      <c r="AR99" s="1475">
        <v>0</v>
      </c>
    </row>
    <row s="1858" customFormat="1" customHeight="1" ht="17.25" hidden="1">
      <c r="A100" s="329"/>
      <c r="C100" s="328"/>
      <c r="D100" s="2156"/>
      <c r="E100" s="2164"/>
      <c r="F100" s="2167"/>
      <c r="G100" s="2164"/>
      <c r="H100" s="2170"/>
      <c r="I100" s="2172"/>
      <c r="J100" s="2174"/>
      <c r="K100" s="2159"/>
      <c r="L100" s="2159"/>
      <c r="M100" s="2159"/>
      <c r="N100" s="2161"/>
      <c r="O100" s="2159"/>
      <c r="P100" s="2159"/>
      <c r="Q100" s="2159"/>
      <c r="R100" s="2162"/>
      <c r="S100" s="2159"/>
      <c r="T100" s="1953"/>
      <c r="U100" s="1953"/>
      <c r="V100" s="1953"/>
      <c r="W100" s="1954"/>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58" customFormat="1" customHeight="1" ht="17.25" hidden="1">
      <c r="A101" s="329"/>
      <c r="C101" s="328"/>
      <c r="D101" s="2157"/>
      <c r="E101" s="2165"/>
      <c r="F101" s="2167"/>
      <c r="G101" s="2165"/>
      <c r="H101" s="2170"/>
      <c r="I101" s="2172"/>
      <c r="J101" s="2175"/>
      <c r="K101" s="2159"/>
      <c r="L101" s="2159"/>
      <c r="M101" s="2159"/>
      <c r="N101" s="2162"/>
      <c r="O101" s="2159"/>
      <c r="P101" s="1949"/>
      <c r="Q101" s="1953"/>
      <c r="R101" s="1953"/>
      <c r="S101" s="337"/>
      <c r="T101" s="337"/>
      <c r="U101" s="337"/>
      <c r="V101" s="337"/>
      <c r="W101" s="1954"/>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58" customFormat="1" customHeight="1" ht="17.25" hidden="1">
      <c r="A102" s="329"/>
      <c r="C102" s="328"/>
      <c r="D102" s="2157"/>
      <c r="E102" s="2165"/>
      <c r="F102" s="2167"/>
      <c r="G102" s="2165"/>
      <c r="H102" s="2170"/>
      <c r="I102" s="2172"/>
      <c r="J102" s="2175"/>
      <c r="K102" s="2159"/>
      <c r="L102" s="1953"/>
      <c r="M102" s="1953"/>
      <c r="N102" s="1953"/>
      <c r="O102" s="1953"/>
      <c r="P102" s="1953"/>
      <c r="Q102" s="1953"/>
      <c r="R102" s="1953"/>
      <c r="S102" s="337"/>
      <c r="T102" s="337"/>
      <c r="U102" s="337"/>
      <c r="V102" s="337"/>
      <c r="W102" s="1954"/>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58" customFormat="1" customHeight="1" ht="17.25" hidden="1">
      <c r="A103" s="329"/>
      <c r="C103" s="328"/>
      <c r="D103" s="2157"/>
      <c r="E103" s="2165"/>
      <c r="F103" s="2168"/>
      <c r="G103" s="2165"/>
      <c r="H103" s="1307"/>
      <c r="I103" s="1951"/>
      <c r="J103" s="1951"/>
      <c r="K103" s="1951"/>
      <c r="L103" s="1951"/>
      <c r="M103" s="1951"/>
      <c r="N103" s="1951"/>
      <c r="O103" s="1951"/>
      <c r="P103" s="1951"/>
      <c r="Q103" s="1951"/>
      <c r="R103" s="1951"/>
      <c r="S103" s="1309"/>
      <c r="T103" s="1309"/>
      <c r="U103" s="1309"/>
      <c r="V103" s="1309"/>
      <c r="W103" s="1952"/>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58"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58" customFormat="1" customHeight="1" ht="17.25" hidden="1">
      <c r="A105" s="329"/>
      <c r="C105" s="217"/>
      <c r="D105" s="2156">
        <v>1</v>
      </c>
      <c r="E105" s="2164" t="s">
        <v>266</v>
      </c>
      <c r="F105" s="2166" t="s">
        <v>19</v>
      </c>
      <c r="G105" s="2164"/>
      <c r="H105" s="2169"/>
      <c r="I105" s="2171"/>
      <c r="J105" s="2173"/>
      <c r="K105" s="2158"/>
      <c r="L105" s="2158"/>
      <c r="M105" s="2158"/>
      <c r="N105" s="2160"/>
      <c r="O105" s="2158"/>
      <c r="P105" s="2158"/>
      <c r="Q105" s="2158"/>
      <c r="R105" s="2163"/>
      <c r="S105" s="2158"/>
      <c r="T105" s="1478"/>
      <c r="U105" s="1478"/>
      <c r="V105" s="1480"/>
      <c r="W105" s="1304"/>
      <c r="Y105" s="1275"/>
      <c r="Z105" s="1275"/>
      <c r="AA105" s="1275"/>
      <c r="AB105" s="1275"/>
      <c r="AC105" s="1275" t="s">
        <v>267</v>
      </c>
      <c r="AD105" s="1275" t="s">
        <v>268</v>
      </c>
      <c r="AE105" s="1275" t="s">
        <v>269</v>
      </c>
      <c r="AF105" s="1275" t="s">
        <v>270</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58" customFormat="1" customHeight="1" ht="17.25" hidden="1">
      <c r="A106" s="329"/>
      <c r="C106" s="328"/>
      <c r="D106" s="2156"/>
      <c r="E106" s="2164"/>
      <c r="F106" s="2167"/>
      <c r="G106" s="2164"/>
      <c r="H106" s="2170"/>
      <c r="I106" s="2172"/>
      <c r="J106" s="2174"/>
      <c r="K106" s="2159"/>
      <c r="L106" s="2159"/>
      <c r="M106" s="2159"/>
      <c r="N106" s="2161"/>
      <c r="O106" s="2159"/>
      <c r="P106" s="2159"/>
      <c r="Q106" s="2159"/>
      <c r="R106" s="2162"/>
      <c r="S106" s="2159"/>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58" customFormat="1" customHeight="1" ht="17.25" hidden="1">
      <c r="A107" s="329"/>
      <c r="C107" s="217"/>
      <c r="D107" s="2156"/>
      <c r="E107" s="2164"/>
      <c r="F107" s="2167"/>
      <c r="G107" s="2164"/>
      <c r="H107" s="2170"/>
      <c r="I107" s="2172"/>
      <c r="J107" s="2175"/>
      <c r="K107" s="2159"/>
      <c r="L107" s="2159"/>
      <c r="M107" s="2159"/>
      <c r="N107" s="2162"/>
      <c r="O107" s="2159"/>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58" customFormat="1" customHeight="1" ht="17.25" hidden="1">
      <c r="A108" s="329"/>
      <c r="C108" s="328"/>
      <c r="D108" s="2156"/>
      <c r="E108" s="2164"/>
      <c r="F108" s="2167"/>
      <c r="G108" s="2164"/>
      <c r="H108" s="2170"/>
      <c r="I108" s="2172"/>
      <c r="J108" s="2175"/>
      <c r="K108" s="2159"/>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58" customFormat="1" customHeight="1" ht="17.25" hidden="1">
      <c r="A109" s="329"/>
      <c r="C109" s="328"/>
      <c r="D109" s="2157"/>
      <c r="E109" s="2165"/>
      <c r="F109" s="2168"/>
      <c r="G109" s="2165"/>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58" customFormat="1" customHeight="1" ht="17.25" hidden="1">
      <c r="A110" s="329"/>
      <c r="C110" s="217"/>
      <c r="D110" s="2156">
        <v>2</v>
      </c>
      <c r="E110" s="2164" t="s">
        <v>271</v>
      </c>
      <c r="F110" s="2166" t="s">
        <v>19</v>
      </c>
      <c r="G110" s="2164"/>
      <c r="H110" s="2169"/>
      <c r="I110" s="2171"/>
      <c r="J110" s="2173"/>
      <c r="K110" s="2158"/>
      <c r="L110" s="2158"/>
      <c r="M110" s="2158"/>
      <c r="N110" s="2160"/>
      <c r="O110" s="2158"/>
      <c r="P110" s="2158"/>
      <c r="Q110" s="2158"/>
      <c r="R110" s="2163"/>
      <c r="S110" s="2158"/>
      <c r="T110" s="1478"/>
      <c r="U110" s="1478"/>
      <c r="V110" s="1480"/>
      <c r="W110" s="1304"/>
      <c r="X110" s="1275"/>
      <c r="Y110" s="1275"/>
      <c r="Z110" s="1275"/>
      <c r="AA110" s="1275"/>
      <c r="AB110" s="1275"/>
      <c r="AC110" s="1275" t="s">
        <v>272</v>
      </c>
      <c r="AD110" s="1275" t="s">
        <v>273</v>
      </c>
      <c r="AE110" s="1275" t="s">
        <v>274</v>
      </c>
      <c r="AF110" s="1275" t="s">
        <v>275</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79">
        <f>$I$110</f>
        <v>0</v>
      </c>
      <c r="AO110" s="1275" t="str">
        <f>$I$110&amp;"."&amp;$M$110</f>
        <v>.</v>
      </c>
      <c r="AP110" s="1267" t="str">
        <f>$I$110&amp;"."&amp;$M$110&amp;"."&amp;$Q$110</f>
        <v>..</v>
      </c>
      <c r="AQ110" s="1267" t="str">
        <f>$I$110&amp;"."&amp;$M$110&amp;"."&amp;$Q$110&amp;"."&amp;$U$110</f>
        <v>...</v>
      </c>
      <c r="AR110" s="1475">
        <v>0</v>
      </c>
    </row>
    <row s="1858" customFormat="1" customHeight="1" ht="17.25" hidden="1">
      <c r="A111" s="329"/>
      <c r="C111" s="328"/>
      <c r="D111" s="2156"/>
      <c r="E111" s="2164"/>
      <c r="F111" s="2167"/>
      <c r="G111" s="2164"/>
      <c r="H111" s="2170"/>
      <c r="I111" s="2172"/>
      <c r="J111" s="2174"/>
      <c r="K111" s="2159"/>
      <c r="L111" s="2159"/>
      <c r="M111" s="2159"/>
      <c r="N111" s="2161"/>
      <c r="O111" s="2159"/>
      <c r="P111" s="2159"/>
      <c r="Q111" s="2159"/>
      <c r="R111" s="2162"/>
      <c r="S111" s="2159"/>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58" customFormat="1" customHeight="1" ht="17.25" hidden="1">
      <c r="A112" s="329"/>
      <c r="C112" s="328"/>
      <c r="D112" s="2157"/>
      <c r="E112" s="2165"/>
      <c r="F112" s="2167"/>
      <c r="G112" s="2165"/>
      <c r="H112" s="2170"/>
      <c r="I112" s="2172"/>
      <c r="J112" s="2175"/>
      <c r="K112" s="2159"/>
      <c r="L112" s="2159"/>
      <c r="M112" s="2159"/>
      <c r="N112" s="2162"/>
      <c r="O112" s="2159"/>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58" customFormat="1" customHeight="1" ht="17.25" hidden="1">
      <c r="A113" s="329"/>
      <c r="C113" s="328"/>
      <c r="D113" s="2157"/>
      <c r="E113" s="2165"/>
      <c r="F113" s="2167"/>
      <c r="G113" s="2165"/>
      <c r="H113" s="2170"/>
      <c r="I113" s="2172"/>
      <c r="J113" s="2175"/>
      <c r="K113" s="2159"/>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58" customFormat="1" customHeight="1" ht="17.25" hidden="1">
      <c r="A114" s="329"/>
      <c r="C114" s="328"/>
      <c r="D114" s="2157"/>
      <c r="E114" s="2165"/>
      <c r="F114" s="2168"/>
      <c r="G114" s="2165"/>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58" customFormat="1" customHeight="1" ht="17.25" hidden="1">
      <c r="A115" s="329"/>
      <c r="C115" s="217"/>
      <c r="D115" s="2156">
        <v>3</v>
      </c>
      <c r="E115" s="2164" t="s">
        <v>276</v>
      </c>
      <c r="F115" s="2166" t="s">
        <v>19</v>
      </c>
      <c r="G115" s="2164"/>
      <c r="H115" s="2169"/>
      <c r="I115" s="2171"/>
      <c r="J115" s="2173"/>
      <c r="K115" s="2158"/>
      <c r="L115" s="2158"/>
      <c r="M115" s="2158"/>
      <c r="N115" s="2160"/>
      <c r="O115" s="2158"/>
      <c r="P115" s="2158"/>
      <c r="Q115" s="2158"/>
      <c r="R115" s="2163"/>
      <c r="S115" s="2158"/>
      <c r="T115" s="1948"/>
      <c r="U115" s="1948"/>
      <c r="V115" s="1950"/>
      <c r="W115" s="1304"/>
      <c r="X115" s="1275"/>
      <c r="Y115" s="1275"/>
      <c r="Z115" s="1275"/>
      <c r="AA115" s="1275"/>
      <c r="AB115" s="1275"/>
      <c r="AC115" s="1275" t="s">
        <v>277</v>
      </c>
      <c r="AD115" s="1275" t="s">
        <v>278</v>
      </c>
      <c r="AE115" s="1275" t="s">
        <v>279</v>
      </c>
      <c r="AF115" s="1275" t="s">
        <v>280</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79">
        <f>$I$115</f>
        <v>0</v>
      </c>
      <c r="AO115" s="1275" t="str">
        <f>$I$115&amp;"."&amp;$M$115</f>
        <v>.</v>
      </c>
      <c r="AP115" s="1274" t="str">
        <f>$I$115&amp;"."&amp;$M$115&amp;"."&amp;$Q$115</f>
        <v>..</v>
      </c>
      <c r="AQ115" s="1274" t="str">
        <f>$I$115&amp;"."&amp;$M$115&amp;"."&amp;$Q$115&amp;"."&amp;$U$115</f>
        <v>...</v>
      </c>
      <c r="AR115" s="1475">
        <v>0</v>
      </c>
    </row>
    <row s="1858" customFormat="1" customHeight="1" ht="17.25" hidden="1">
      <c r="A116" s="329"/>
      <c r="C116" s="328"/>
      <c r="D116" s="2156"/>
      <c r="E116" s="2164"/>
      <c r="F116" s="2167"/>
      <c r="G116" s="2164"/>
      <c r="H116" s="2170"/>
      <c r="I116" s="2172"/>
      <c r="J116" s="2174"/>
      <c r="K116" s="2159"/>
      <c r="L116" s="2159"/>
      <c r="M116" s="2159"/>
      <c r="N116" s="2161"/>
      <c r="O116" s="2159"/>
      <c r="P116" s="2159"/>
      <c r="Q116" s="2159"/>
      <c r="R116" s="2162"/>
      <c r="S116" s="2159"/>
      <c r="T116" s="1953"/>
      <c r="U116" s="1953"/>
      <c r="V116" s="1953"/>
      <c r="W116" s="1954"/>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58" customFormat="1" customHeight="1" ht="17.25" hidden="1">
      <c r="A117" s="329"/>
      <c r="C117" s="328"/>
      <c r="D117" s="2157"/>
      <c r="E117" s="2165"/>
      <c r="F117" s="2167"/>
      <c r="G117" s="2165"/>
      <c r="H117" s="2170"/>
      <c r="I117" s="2172"/>
      <c r="J117" s="2175"/>
      <c r="K117" s="2159"/>
      <c r="L117" s="2159"/>
      <c r="M117" s="2159"/>
      <c r="N117" s="2162"/>
      <c r="O117" s="2159"/>
      <c r="P117" s="1949"/>
      <c r="Q117" s="1953"/>
      <c r="R117" s="1953"/>
      <c r="S117" s="337"/>
      <c r="T117" s="337"/>
      <c r="U117" s="337"/>
      <c r="V117" s="337"/>
      <c r="W117" s="1954"/>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58" customFormat="1" customHeight="1" ht="17.25" hidden="1">
      <c r="A118" s="329"/>
      <c r="C118" s="328"/>
      <c r="D118" s="2157"/>
      <c r="E118" s="2165"/>
      <c r="F118" s="2167"/>
      <c r="G118" s="2165"/>
      <c r="H118" s="2170"/>
      <c r="I118" s="2172"/>
      <c r="J118" s="2175"/>
      <c r="K118" s="2159"/>
      <c r="L118" s="1953"/>
      <c r="M118" s="1953"/>
      <c r="N118" s="1953"/>
      <c r="O118" s="1953"/>
      <c r="P118" s="1953"/>
      <c r="Q118" s="1953"/>
      <c r="R118" s="1953"/>
      <c r="S118" s="337"/>
      <c r="T118" s="337"/>
      <c r="U118" s="337"/>
      <c r="V118" s="337"/>
      <c r="W118" s="1954"/>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58" customFormat="1" customHeight="1" ht="17.25" hidden="1">
      <c r="A119" s="329"/>
      <c r="C119" s="328"/>
      <c r="D119" s="2157"/>
      <c r="E119" s="2165"/>
      <c r="F119" s="2168"/>
      <c r="G119" s="2165"/>
      <c r="H119" s="1307"/>
      <c r="I119" s="1951"/>
      <c r="J119" s="1951"/>
      <c r="K119" s="1951"/>
      <c r="L119" s="1951"/>
      <c r="M119" s="1951"/>
      <c r="N119" s="1951"/>
      <c r="O119" s="1951"/>
      <c r="P119" s="1951"/>
      <c r="Q119" s="1951"/>
      <c r="R119" s="1951"/>
      <c r="S119" s="1309"/>
      <c r="T119" s="1309"/>
      <c r="U119" s="1309"/>
      <c r="V119" s="1309"/>
      <c r="W119" s="1952"/>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58"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58" customFormat="1" customHeight="1" ht="17.25" hidden="1">
      <c r="A121" s="329"/>
      <c r="C121" s="217"/>
      <c r="D121" s="2156">
        <v>1</v>
      </c>
      <c r="E121" s="2164" t="s">
        <v>281</v>
      </c>
      <c r="F121" s="2166" t="s">
        <v>19</v>
      </c>
      <c r="G121" s="2164"/>
      <c r="H121" s="2169"/>
      <c r="I121" s="2171"/>
      <c r="J121" s="2173"/>
      <c r="K121" s="2158"/>
      <c r="L121" s="2158"/>
      <c r="M121" s="2158"/>
      <c r="N121" s="2160"/>
      <c r="O121" s="2158"/>
      <c r="P121" s="2158"/>
      <c r="Q121" s="2158"/>
      <c r="R121" s="2163"/>
      <c r="S121" s="2158"/>
      <c r="T121" s="1478"/>
      <c r="U121" s="1478"/>
      <c r="V121" s="1480"/>
      <c r="W121" s="1304"/>
      <c r="Y121" s="1275"/>
      <c r="Z121" s="1275"/>
      <c r="AA121" s="1275"/>
      <c r="AB121" s="1275"/>
      <c r="AC121" s="1275" t="s">
        <v>282</v>
      </c>
      <c r="AD121" s="1275" t="s">
        <v>283</v>
      </c>
      <c r="AE121" s="1275" t="s">
        <v>284</v>
      </c>
      <c r="AF121" s="1275" t="s">
        <v>285</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58" customFormat="1" customHeight="1" ht="17.25" hidden="1">
      <c r="A122" s="329"/>
      <c r="C122" s="328"/>
      <c r="D122" s="2156"/>
      <c r="E122" s="2164"/>
      <c r="F122" s="2167"/>
      <c r="G122" s="2164"/>
      <c r="H122" s="2170"/>
      <c r="I122" s="2172"/>
      <c r="J122" s="2174"/>
      <c r="K122" s="2159"/>
      <c r="L122" s="2159"/>
      <c r="M122" s="2159"/>
      <c r="N122" s="2161"/>
      <c r="O122" s="2159"/>
      <c r="P122" s="2159"/>
      <c r="Q122" s="2159"/>
      <c r="R122" s="2162"/>
      <c r="S122" s="2159"/>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58" customFormat="1" customHeight="1" ht="17.25" hidden="1">
      <c r="A123" s="329"/>
      <c r="C123" s="217"/>
      <c r="D123" s="2156"/>
      <c r="E123" s="2164"/>
      <c r="F123" s="2167"/>
      <c r="G123" s="2164"/>
      <c r="H123" s="2170"/>
      <c r="I123" s="2172"/>
      <c r="J123" s="2175"/>
      <c r="K123" s="2159"/>
      <c r="L123" s="2159"/>
      <c r="M123" s="2159"/>
      <c r="N123" s="2162"/>
      <c r="O123" s="2159"/>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58" customFormat="1" customHeight="1" ht="17.25" hidden="1">
      <c r="A124" s="329"/>
      <c r="C124" s="328"/>
      <c r="D124" s="2156"/>
      <c r="E124" s="2164"/>
      <c r="F124" s="2167"/>
      <c r="G124" s="2164"/>
      <c r="H124" s="2170"/>
      <c r="I124" s="2172"/>
      <c r="J124" s="2175"/>
      <c r="K124" s="2159"/>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58" customFormat="1" customHeight="1" ht="17.25" hidden="1">
      <c r="A125" s="329"/>
      <c r="C125" s="328"/>
      <c r="D125" s="2157"/>
      <c r="E125" s="2165"/>
      <c r="F125" s="2168"/>
      <c r="G125" s="2165"/>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58" customFormat="1" customHeight="1" ht="17.25" hidden="1">
      <c r="A126" s="329"/>
      <c r="C126" s="217"/>
      <c r="D126" s="2156">
        <v>2</v>
      </c>
      <c r="E126" s="2164" t="s">
        <v>286</v>
      </c>
      <c r="F126" s="2166" t="s">
        <v>19</v>
      </c>
      <c r="G126" s="2164"/>
      <c r="H126" s="2169"/>
      <c r="I126" s="2171"/>
      <c r="J126" s="2173"/>
      <c r="K126" s="2158"/>
      <c r="L126" s="2158"/>
      <c r="M126" s="2158"/>
      <c r="N126" s="2160"/>
      <c r="O126" s="2158"/>
      <c r="P126" s="2158"/>
      <c r="Q126" s="2158"/>
      <c r="R126" s="2163"/>
      <c r="S126" s="2158"/>
      <c r="T126" s="1478"/>
      <c r="U126" s="1478"/>
      <c r="V126" s="1480"/>
      <c r="W126" s="1304"/>
      <c r="X126" s="1275"/>
      <c r="Y126" s="1275"/>
      <c r="Z126" s="1275"/>
      <c r="AA126" s="1275"/>
      <c r="AB126" s="1275"/>
      <c r="AC126" s="1275" t="s">
        <v>287</v>
      </c>
      <c r="AD126" s="1275" t="s">
        <v>288</v>
      </c>
      <c r="AE126" s="1275" t="s">
        <v>289</v>
      </c>
      <c r="AF126" s="1275" t="s">
        <v>290</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79">
        <f>$I$126</f>
        <v>0</v>
      </c>
      <c r="AO126" s="1275" t="str">
        <f>$I$126&amp;"."&amp;$M$126</f>
        <v>.</v>
      </c>
      <c r="AP126" s="1267" t="str">
        <f>$I$126&amp;"."&amp;$M$126&amp;"."&amp;$Q$126</f>
        <v>..</v>
      </c>
      <c r="AQ126" s="1267" t="str">
        <f>$I$126&amp;"."&amp;$M$126&amp;"."&amp;$Q$126&amp;"."&amp;$U$126</f>
        <v>...</v>
      </c>
      <c r="AR126" s="1475">
        <v>0</v>
      </c>
    </row>
    <row s="1858" customFormat="1" customHeight="1" ht="17.25" hidden="1">
      <c r="A127" s="329"/>
      <c r="C127" s="328"/>
      <c r="D127" s="2156"/>
      <c r="E127" s="2164"/>
      <c r="F127" s="2167"/>
      <c r="G127" s="2164"/>
      <c r="H127" s="2170"/>
      <c r="I127" s="2172"/>
      <c r="J127" s="2174"/>
      <c r="K127" s="2159"/>
      <c r="L127" s="2159"/>
      <c r="M127" s="2159"/>
      <c r="N127" s="2161"/>
      <c r="O127" s="2159"/>
      <c r="P127" s="2159"/>
      <c r="Q127" s="2159"/>
      <c r="R127" s="2162"/>
      <c r="S127" s="2159"/>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58" customFormat="1" customHeight="1" ht="17.25" hidden="1">
      <c r="A128" s="329"/>
      <c r="C128" s="328"/>
      <c r="D128" s="2157"/>
      <c r="E128" s="2165"/>
      <c r="F128" s="2167"/>
      <c r="G128" s="2165"/>
      <c r="H128" s="2170"/>
      <c r="I128" s="2172"/>
      <c r="J128" s="2175"/>
      <c r="K128" s="2159"/>
      <c r="L128" s="2159"/>
      <c r="M128" s="2159"/>
      <c r="N128" s="2162"/>
      <c r="O128" s="2159"/>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58" customFormat="1" customHeight="1" ht="17.25" hidden="1">
      <c r="A129" s="329"/>
      <c r="C129" s="328"/>
      <c r="D129" s="2157"/>
      <c r="E129" s="2165"/>
      <c r="F129" s="2167"/>
      <c r="G129" s="2165"/>
      <c r="H129" s="2170"/>
      <c r="I129" s="2172"/>
      <c r="J129" s="2175"/>
      <c r="K129" s="2159"/>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58" customFormat="1" customHeight="1" ht="17.25" hidden="1">
      <c r="A130" s="329"/>
      <c r="C130" s="328"/>
      <c r="D130" s="2157"/>
      <c r="E130" s="2165"/>
      <c r="F130" s="2168"/>
      <c r="G130" s="2165"/>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58" customFormat="1" customHeight="1" ht="17.25" hidden="1">
      <c r="A131" s="329"/>
      <c r="C131" s="217"/>
      <c r="D131" s="2156">
        <v>3</v>
      </c>
      <c r="E131" s="2164" t="s">
        <v>291</v>
      </c>
      <c r="F131" s="2166" t="s">
        <v>19</v>
      </c>
      <c r="G131" s="2164"/>
      <c r="H131" s="2169"/>
      <c r="I131" s="2171"/>
      <c r="J131" s="2173"/>
      <c r="K131" s="2158"/>
      <c r="L131" s="2158"/>
      <c r="M131" s="2158"/>
      <c r="N131" s="2160"/>
      <c r="O131" s="2158"/>
      <c r="P131" s="2158"/>
      <c r="Q131" s="2158"/>
      <c r="R131" s="2163"/>
      <c r="S131" s="2158"/>
      <c r="T131" s="1948"/>
      <c r="U131" s="1948"/>
      <c r="V131" s="1950"/>
      <c r="W131" s="1304"/>
      <c r="X131" s="1275"/>
      <c r="Y131" s="1275"/>
      <c r="Z131" s="1275"/>
      <c r="AA131" s="1275"/>
      <c r="AB131" s="1275"/>
      <c r="AC131" s="1275" t="s">
        <v>292</v>
      </c>
      <c r="AD131" s="1275" t="s">
        <v>293</v>
      </c>
      <c r="AE131" s="1275" t="s">
        <v>294</v>
      </c>
      <c r="AF131" s="1275" t="s">
        <v>295</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79">
        <f>$I$131</f>
        <v>0</v>
      </c>
      <c r="AO131" s="1275" t="str">
        <f>$I$131&amp;"."&amp;$M$131</f>
        <v>.</v>
      </c>
      <c r="AP131" s="1274" t="str">
        <f>$I$131&amp;"."&amp;$M$131&amp;"."&amp;$Q$131</f>
        <v>..</v>
      </c>
      <c r="AQ131" s="1274" t="str">
        <f>$I$131&amp;"."&amp;$M$131&amp;"."&amp;$Q$131&amp;"."&amp;$U$131</f>
        <v>...</v>
      </c>
      <c r="AR131" s="1475">
        <v>0</v>
      </c>
    </row>
    <row s="1858" customFormat="1" customHeight="1" ht="17.25" hidden="1">
      <c r="A132" s="329"/>
      <c r="C132" s="328"/>
      <c r="D132" s="2156"/>
      <c r="E132" s="2164"/>
      <c r="F132" s="2167"/>
      <c r="G132" s="2164"/>
      <c r="H132" s="2170"/>
      <c r="I132" s="2172"/>
      <c r="J132" s="2174"/>
      <c r="K132" s="2159"/>
      <c r="L132" s="2159"/>
      <c r="M132" s="2159"/>
      <c r="N132" s="2161"/>
      <c r="O132" s="2159"/>
      <c r="P132" s="2159"/>
      <c r="Q132" s="2159"/>
      <c r="R132" s="2162"/>
      <c r="S132" s="2159"/>
      <c r="T132" s="1953"/>
      <c r="U132" s="1953"/>
      <c r="V132" s="1953"/>
      <c r="W132" s="1954"/>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58" customFormat="1" customHeight="1" ht="17.25" hidden="1">
      <c r="A133" s="329"/>
      <c r="C133" s="328"/>
      <c r="D133" s="2157"/>
      <c r="E133" s="2165"/>
      <c r="F133" s="2167"/>
      <c r="G133" s="2165"/>
      <c r="H133" s="2170"/>
      <c r="I133" s="2172"/>
      <c r="J133" s="2175"/>
      <c r="K133" s="2159"/>
      <c r="L133" s="2159"/>
      <c r="M133" s="2159"/>
      <c r="N133" s="2162"/>
      <c r="O133" s="2159"/>
      <c r="P133" s="1949"/>
      <c r="Q133" s="1953"/>
      <c r="R133" s="1953"/>
      <c r="S133" s="337"/>
      <c r="T133" s="337"/>
      <c r="U133" s="337"/>
      <c r="V133" s="337"/>
      <c r="W133" s="1954"/>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58" customFormat="1" customHeight="1" ht="17.25" hidden="1">
      <c r="A134" s="329"/>
      <c r="C134" s="328"/>
      <c r="D134" s="2157"/>
      <c r="E134" s="2165"/>
      <c r="F134" s="2167"/>
      <c r="G134" s="2165"/>
      <c r="H134" s="2170"/>
      <c r="I134" s="2172"/>
      <c r="J134" s="2175"/>
      <c r="K134" s="2159"/>
      <c r="L134" s="1953"/>
      <c r="M134" s="1953"/>
      <c r="N134" s="1953"/>
      <c r="O134" s="1953"/>
      <c r="P134" s="1953"/>
      <c r="Q134" s="1953"/>
      <c r="R134" s="1953"/>
      <c r="S134" s="337"/>
      <c r="T134" s="337"/>
      <c r="U134" s="337"/>
      <c r="V134" s="337"/>
      <c r="W134" s="1954"/>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58" customFormat="1" customHeight="1" ht="17.25" hidden="1">
      <c r="A135" s="329"/>
      <c r="C135" s="328"/>
      <c r="D135" s="2157"/>
      <c r="E135" s="2165"/>
      <c r="F135" s="2168"/>
      <c r="G135" s="2165"/>
      <c r="H135" s="1307"/>
      <c r="I135" s="1951"/>
      <c r="J135" s="1951"/>
      <c r="K135" s="1951"/>
      <c r="L135" s="1951"/>
      <c r="M135" s="1951"/>
      <c r="N135" s="1951"/>
      <c r="O135" s="1951"/>
      <c r="P135" s="1951"/>
      <c r="Q135" s="1951"/>
      <c r="R135" s="1951"/>
      <c r="S135" s="1309"/>
      <c r="T135" s="1309"/>
      <c r="U135" s="1309"/>
      <c r="V135" s="1309"/>
      <c r="W135" s="1952"/>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EB651-8E8C-878A-7ED3-7ECAEC140DDF}" mc:Ignorable="x14ac xr xr2 xr3">
  <sheetPr>
    <tabColor theme="2" tint="-0.1"/>
  </sheetPr>
  <dimension ref="A1:AD30"/>
  <sheetViews>
    <sheetView showGridLines="0" zoomScale="90" workbookViewId="0">
      <pane xSplit="8" ySplit="18" topLeftCell="Q19" activePane="bottomRight" state="frozen"/>
      <selection pane="bottomLeft" activeCell="A19" sqref="A19"/>
      <selection pane="topRight" activeCell="I1" sqref="I1"/>
      <selection pane="bottomRight" activeCell="Q8" sqref="Q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374" width="50.00390625" customWidth="1"/>
    <col min="20" max="28" style="1643" width="10.00390625" customWidth="1"/>
    <col min="29" max="29" style="683" width="10.00390625" customWidth="1"/>
    <col min="30" max="30" style="1643" width="10.57421875" hidden="1"/>
  </cols>
  <sheetData>
    <row s="1374" customFormat="1" customHeight="1" ht="22.5" hidden="1">
      <c r="C1" s="680"/>
      <c r="G1" s="425">
        <v>4</v>
      </c>
      <c r="I1" s="425">
        <v>4</v>
      </c>
      <c r="K1" s="1374">
        <v>4</v>
      </c>
      <c r="L1" s="1374"/>
      <c r="M1" s="1374">
        <v>4</v>
      </c>
      <c r="N1" s="1374"/>
      <c r="O1" s="1374">
        <v>4</v>
      </c>
      <c r="P1" s="1374"/>
      <c r="Q1" s="1374">
        <v>4</v>
      </c>
      <c r="R1" s="1374"/>
      <c r="AC1" s="428"/>
      <c r="AD1" s="425" t="s">
        <v>14</v>
      </c>
    </row>
    <row s="1643" customFormat="1" customHeight="1" ht="15" hidden="1">
      <c r="A2" s="370"/>
      <c r="C2" s="184"/>
      <c r="D2" s="354"/>
      <c r="E2" s="681"/>
      <c r="F2" s="530"/>
      <c r="G2" s="624"/>
      <c r="H2" s="624"/>
      <c r="I2" s="624"/>
      <c r="J2" s="624"/>
      <c r="K2" s="624"/>
      <c r="L2" s="624"/>
      <c r="M2" s="624"/>
      <c r="N2" s="624"/>
      <c r="O2" s="624"/>
      <c r="P2" s="624"/>
      <c r="Q2" s="624"/>
      <c r="R2" s="624"/>
      <c r="AC2" s="682"/>
      <c r="AD2" s="517">
        <v>0</v>
      </c>
    </row>
    <row s="1374" customFormat="1" customHeight="1" ht="15" hidden="1">
      <c r="C3" s="680"/>
      <c r="K3" s="1374"/>
      <c r="L3" s="1374"/>
      <c r="M3" s="1374"/>
      <c r="N3" s="1374"/>
      <c r="O3" s="1374"/>
      <c r="P3" s="1374"/>
      <c r="Q3" s="1374"/>
      <c r="R3" s="1374"/>
      <c r="AC3" s="428"/>
      <c r="AD3" s="425">
        <v>0</v>
      </c>
    </row>
    <row customHeight="1" ht="15.75">
      <c r="C4" s="184"/>
      <c r="D4" s="517"/>
      <c r="E4" s="517"/>
      <c r="F4" s="517"/>
      <c r="G4" s="517"/>
      <c r="H4" s="517"/>
      <c r="I4" s="517"/>
      <c r="J4" s="517"/>
      <c r="K4" s="1643"/>
      <c r="L4" s="1643"/>
      <c r="M4" s="1643"/>
      <c r="N4" s="1643"/>
      <c r="O4" s="1643"/>
      <c r="P4" s="1643"/>
      <c r="Q4" s="1643"/>
      <c r="R4" s="1643"/>
      <c r="AD4" s="513">
        <v>15</v>
      </c>
    </row>
    <row customHeight="1" ht="66">
      <c r="C5" s="184"/>
      <c r="D5" s="2258" t="s">
        <v>1365</v>
      </c>
      <c r="E5" s="2258"/>
      <c r="F5" s="2258"/>
      <c r="G5" s="2258"/>
      <c r="H5" s="2258"/>
      <c r="I5" s="2258"/>
      <c r="J5" s="2258"/>
      <c r="K5" s="2269"/>
      <c r="L5" s="2269"/>
      <c r="M5" s="2269"/>
      <c r="N5" s="2269"/>
      <c r="O5" s="2269"/>
      <c r="P5" s="2269"/>
      <c r="Q5" s="2269"/>
      <c r="R5" s="2269"/>
      <c r="AD5" s="513">
        <v>63</v>
      </c>
    </row>
    <row customHeight="1" ht="15.75">
      <c r="C6" s="184"/>
      <c r="D6" s="2197" t="str">
        <f>IF(org=0,"Не определено",org)</f>
        <v>АО "ДГК"</v>
      </c>
      <c r="E6" s="2197"/>
      <c r="F6" s="2197"/>
      <c r="G6" s="2197"/>
      <c r="H6" s="2197"/>
      <c r="I6" s="2197"/>
      <c r="J6" s="2197"/>
      <c r="K6" s="2270"/>
      <c r="L6" s="2270"/>
      <c r="M6" s="2270"/>
      <c r="N6" s="2270"/>
      <c r="O6" s="2270"/>
      <c r="P6" s="2270"/>
      <c r="Q6" s="2270"/>
      <c r="R6" s="2270"/>
      <c r="S6" s="545"/>
      <c r="AD6" s="513">
        <v>15</v>
      </c>
    </row>
    <row customHeight="1" ht="15.75">
      <c r="C7" s="184"/>
      <c r="D7" s="760"/>
      <c r="E7" s="517"/>
      <c r="F7" s="517"/>
      <c r="G7" s="545">
        <v>22</v>
      </c>
      <c r="I7" s="545">
        <v>1</v>
      </c>
      <c r="J7" s="760"/>
      <c r="K7" s="1374" t="s">
        <v>22</v>
      </c>
      <c r="L7" s="1643"/>
      <c r="M7" s="1374" t="s">
        <v>22</v>
      </c>
      <c r="N7" s="1643"/>
      <c r="O7" s="1374" t="s">
        <v>22</v>
      </c>
      <c r="P7" s="1643"/>
      <c r="Q7" s="1374" t="s">
        <v>22</v>
      </c>
      <c r="R7" s="1643"/>
      <c r="AD7" s="513">
        <v>15</v>
      </c>
    </row>
    <row s="1643" customFormat="1" customHeight="1" ht="1.05">
      <c r="A8" s="767"/>
      <c r="C8" s="184"/>
      <c r="D8" s="517"/>
      <c r="E8" s="517"/>
      <c r="F8" s="517"/>
      <c r="G8" s="545"/>
      <c r="H8" s="760"/>
      <c r="I8" s="545" t="s">
        <v>126</v>
      </c>
      <c r="J8" s="760"/>
      <c r="K8" s="1374" t="s">
        <v>132</v>
      </c>
      <c r="L8" s="760"/>
      <c r="M8" s="1374" t="s">
        <v>135</v>
      </c>
      <c r="N8" s="760"/>
      <c r="O8" s="1374" t="s">
        <v>137</v>
      </c>
      <c r="P8" s="760"/>
      <c r="Q8" s="1374" t="s">
        <v>139</v>
      </c>
      <c r="R8" s="760"/>
      <c r="S8" s="425"/>
      <c r="AC8" s="683"/>
      <c r="AD8" s="766">
        <v>1</v>
      </c>
    </row>
    <row customHeight="1" ht="15.75">
      <c r="C9" s="184"/>
      <c r="D9" s="719"/>
      <c r="E9" s="2388" t="s">
        <v>114</v>
      </c>
      <c r="F9" s="2389"/>
      <c r="G9" s="2416" t="str">
        <f>IF(G8="","",INDEX(DIFFERENTIATION_UNMERGE_VD,MATCH(G8,DIFFERENTIATION_ID_DIFF,0)))</f>
        <v/>
      </c>
      <c r="H9" s="2417"/>
      <c r="I9" s="241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17"/>
      <c r="K9" s="2416" t="str">
        <f>IF(K8="","",INDEX(DIFFERENTIATION_UNMERGE_VD,MATCH(K8,DIFFERENTIATION_ID_DIFF,0)))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17"/>
      <c r="M9" s="2416" t="str">
        <f>IF(M8="","",INDEX(DIFFERENTIATION_UNMERGE_VD,MATCH(M8,DIFFERENTIATION_ID_DIFF,0)))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17"/>
      <c r="O9" s="2416" t="str">
        <f>IF(O8="","",INDEX(DIFFERENTIATION_UNMERGE_VD,MATCH(O8,DIFFERENTIATION_ID_DIFF,0)))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9" s="2417"/>
      <c r="Q9" s="2416" t="str">
        <f>IF(Q8="","",INDEX(DIFFERENTIATION_UNMERGE_VD,MATCH(Q8,DIFFERENTIATION_ID_DIFF,0)))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R9" s="2417"/>
      <c r="S9" s="2196" t="s">
        <v>318</v>
      </c>
      <c r="AD9" s="513">
        <v>15</v>
      </c>
    </row>
    <row s="1643" customFormat="1" customHeight="1" ht="15.75">
      <c r="A10" s="767"/>
      <c r="C10" s="184"/>
      <c r="D10" s="719"/>
      <c r="E10" s="2388" t="s">
        <v>581</v>
      </c>
      <c r="F10" s="2389"/>
      <c r="G10" s="2416" t="str">
        <f>IF(G8="","",INDEX(DIFFERENTIATION_UNMERGE_AREA,MATCH(G8,DIFFERENTIATION_ID_DIFF,0)))</f>
        <v/>
      </c>
      <c r="H10" s="2417"/>
      <c r="I10" s="2416" t="str">
        <f>IF(I8="","",INDEX(DIFFERENTIATION_UNMERGE_AREA,MATCH(I8,DIFFERENTIATION_ID_DIFF,0)))</f>
        <v>Территория 1</v>
      </c>
      <c r="J10" s="2417"/>
      <c r="K10" s="2416" t="str">
        <f>IF(K8="","",INDEX(DIFFERENTIATION_UNMERGE_AREA,MATCH(K8,DIFFERENTIATION_ID_DIFF,0)))</f>
        <v>Территория 2</v>
      </c>
      <c r="L10" s="2417"/>
      <c r="M10" s="2416" t="str">
        <f>IF(M8="","",INDEX(DIFFERENTIATION_UNMERGE_AREA,MATCH(M8,DIFFERENTIATION_ID_DIFF,0)))</f>
        <v>Территория 2</v>
      </c>
      <c r="N10" s="2417"/>
      <c r="O10" s="2416" t="str">
        <f>IF(O8="","",INDEX(DIFFERENTIATION_UNMERGE_AREA,MATCH(O8,DIFFERENTIATION_ID_DIFF,0)))</f>
        <v>Территория 3</v>
      </c>
      <c r="P10" s="2417"/>
      <c r="Q10" s="2416" t="str">
        <f>IF(Q8="","",INDEX(DIFFERENTIATION_UNMERGE_AREA,MATCH(Q8,DIFFERENTIATION_ID_DIFF,0)))</f>
        <v>Территория 3</v>
      </c>
      <c r="R10" s="2417"/>
      <c r="S10" s="2220"/>
      <c r="AC10" s="683"/>
      <c r="AD10" s="766">
        <v>15</v>
      </c>
    </row>
    <row s="1643" customFormat="1" customHeight="1" ht="15.75">
      <c r="A11" s="767"/>
      <c r="C11" s="184"/>
      <c r="D11" s="719"/>
      <c r="E11" s="2388" t="s">
        <v>582</v>
      </c>
      <c r="F11" s="2389"/>
      <c r="G11" s="2416" t="str">
        <f>IF(G8="","",INDEX(DIFFERENTIATION_UNMERGE_SYSTEM,MATCH(G8,DIFFERENTIATION_ID_DIFF,0)))</f>
        <v/>
      </c>
      <c r="H11" s="2417"/>
      <c r="I11" s="2416" t="str">
        <f>IF(I8="","",INDEX(DIFFERENTIATION_UNMERGE_SYSTEM,MATCH(I8,DIFFERENTIATION_ID_DIFF,0)))</f>
        <v>Благовещенская ТЭЦ, ТС Благовещенск</v>
      </c>
      <c r="J11" s="2417"/>
      <c r="K11" s="2416" t="str">
        <f>IF(K8="","",INDEX(DIFFERENTIATION_UNMERGE_SYSTEM,MATCH(K8,DIFFERENTIATION_ID_DIFF,0)))</f>
        <v>Райчихинская ГРЭС, ТС Прогресс</v>
      </c>
      <c r="L11" s="2417"/>
      <c r="M11" s="2416" t="str">
        <f>IF(M8="","",INDEX(DIFFERENTIATION_UNMERGE_SYSTEM,MATCH(M8,DIFFERENTIATION_ID_DIFF,0)))</f>
        <v>Котельная (Новорайчихинск)</v>
      </c>
      <c r="N11" s="2417"/>
      <c r="O11" s="2416" t="str">
        <f>IF(O8="","",INDEX(DIFFERENTIATION_UNMERGE_SYSTEM,MATCH(O8,DIFFERENTIATION_ID_DIFF,0)))</f>
        <v>Благовещенская ТЭЦ (с. Чигири)</v>
      </c>
      <c r="P11" s="2417"/>
      <c r="Q11" s="2416" t="str">
        <f>IF(Q8="","",INDEX(DIFFERENTIATION_UNMERGE_SYSTEM,MATCH(Q8,DIFFERENTIATION_ID_DIFF,0)))</f>
        <v>Котельная Центральная (с.Чигири)</v>
      </c>
      <c r="R11" s="2417"/>
      <c r="S11" s="2220"/>
      <c r="AC11" s="683"/>
      <c r="AD11" s="766">
        <v>15</v>
      </c>
    </row>
    <row s="1643" customFormat="1" customHeight="1" ht="15.75">
      <c r="A12" s="767"/>
      <c r="C12" s="184"/>
      <c r="D12" s="2390" t="s">
        <v>317</v>
      </c>
      <c r="E12" s="2391"/>
      <c r="F12" s="2391"/>
      <c r="G12" s="895"/>
      <c r="H12" s="895"/>
      <c r="I12" s="895"/>
      <c r="J12" s="895"/>
      <c r="K12" s="2388"/>
      <c r="L12" s="2388"/>
      <c r="M12" s="2388"/>
      <c r="N12" s="2388"/>
      <c r="O12" s="2388"/>
      <c r="P12" s="2388"/>
      <c r="Q12" s="2388"/>
      <c r="R12" s="2388"/>
      <c r="S12" s="2220"/>
      <c r="AC12" s="683"/>
      <c r="AD12" s="766">
        <v>15</v>
      </c>
    </row>
    <row customHeight="1" ht="35.699999999999996">
      <c r="C13" s="184"/>
      <c r="D13" s="813" t="s">
        <v>88</v>
      </c>
      <c r="E13" s="815" t="s">
        <v>319</v>
      </c>
      <c r="F13" s="815" t="s">
        <v>583</v>
      </c>
      <c r="G13" s="816" t="s">
        <v>320</v>
      </c>
      <c r="H13" s="815" t="s">
        <v>407</v>
      </c>
      <c r="I13" s="816" t="s">
        <v>320</v>
      </c>
      <c r="J13" s="815" t="s">
        <v>407</v>
      </c>
      <c r="K13" s="2283" t="s">
        <v>320</v>
      </c>
      <c r="L13" s="2387" t="s">
        <v>407</v>
      </c>
      <c r="M13" s="2283" t="s">
        <v>320</v>
      </c>
      <c r="N13" s="2387" t="s">
        <v>407</v>
      </c>
      <c r="O13" s="2283" t="s">
        <v>320</v>
      </c>
      <c r="P13" s="2387" t="s">
        <v>407</v>
      </c>
      <c r="Q13" s="2283" t="s">
        <v>320</v>
      </c>
      <c r="R13" s="2387" t="s">
        <v>407</v>
      </c>
      <c r="S13" s="2253"/>
      <c r="AD13" s="513">
        <v>34</v>
      </c>
    </row>
    <row customHeight="1" ht="15" hidden="1">
      <c r="C14" s="184"/>
      <c r="D14" s="601" t="s">
        <v>118</v>
      </c>
      <c r="E14" s="601" t="s">
        <v>102</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297"/>
      <c r="AD14" s="513">
        <v>0</v>
      </c>
    </row>
    <row customHeight="1" ht="22.5" hidden="1">
      <c r="A15" s="513"/>
      <c r="C15" s="534"/>
      <c r="D15" s="529">
        <v>1</v>
      </c>
      <c r="E15" s="685" t="s">
        <v>853</v>
      </c>
      <c r="F15" s="529" t="s">
        <v>854</v>
      </c>
      <c r="G15" s="686"/>
      <c r="H15" s="686"/>
      <c r="I15" s="686"/>
      <c r="J15" s="686"/>
      <c r="K15" s="686"/>
      <c r="L15" s="686"/>
      <c r="M15" s="686"/>
      <c r="N15" s="686"/>
      <c r="O15" s="686"/>
      <c r="P15" s="686"/>
      <c r="Q15" s="686"/>
      <c r="R15" s="686"/>
      <c r="S15" s="297" t="s">
        <v>855</v>
      </c>
      <c r="AD15" s="513">
        <v>0</v>
      </c>
    </row>
    <row customHeight="1" ht="22.5" hidden="1">
      <c r="A16" s="513"/>
      <c r="C16" s="534"/>
      <c r="D16" s="529">
        <v>2</v>
      </c>
      <c r="E16" s="287" t="s">
        <v>856</v>
      </c>
      <c r="F16" s="529" t="s">
        <v>857</v>
      </c>
      <c r="G16" s="686"/>
      <c r="H16" s="686"/>
      <c r="I16" s="686"/>
      <c r="J16" s="686"/>
      <c r="K16" s="686"/>
      <c r="L16" s="686"/>
      <c r="M16" s="686"/>
      <c r="N16" s="686"/>
      <c r="O16" s="686"/>
      <c r="P16" s="686"/>
      <c r="Q16" s="686"/>
      <c r="R16" s="686"/>
      <c r="S16" s="297" t="s">
        <v>858</v>
      </c>
      <c r="AD16" s="513">
        <v>0</v>
      </c>
    </row>
    <row customHeight="1" ht="123.75" hidden="1">
      <c r="A17" s="513"/>
      <c r="C17" s="534"/>
      <c r="D17" s="529">
        <v>3</v>
      </c>
      <c r="E17" s="287" t="s">
        <v>1366</v>
      </c>
      <c r="F17" s="529" t="s">
        <v>323</v>
      </c>
      <c r="G17" s="686"/>
      <c r="H17" s="686"/>
      <c r="I17" s="686"/>
      <c r="J17" s="686"/>
      <c r="K17" s="686"/>
      <c r="L17" s="686"/>
      <c r="M17" s="686"/>
      <c r="N17" s="686"/>
      <c r="O17" s="686"/>
      <c r="P17" s="686"/>
      <c r="Q17" s="686"/>
      <c r="R17" s="686"/>
      <c r="S17" s="297" t="s">
        <v>1367</v>
      </c>
      <c r="AD17" s="513">
        <v>0</v>
      </c>
    </row>
    <row customHeight="1" ht="48.29999999999999">
      <c r="A18" s="513"/>
      <c r="C18" s="534"/>
      <c r="D18" s="529">
        <v>3</v>
      </c>
      <c r="E18" s="287" t="s">
        <v>859</v>
      </c>
      <c r="F18" s="529" t="s">
        <v>323</v>
      </c>
      <c r="G18" s="817" t="s">
        <v>323</v>
      </c>
      <c r="H18" s="818" t="s">
        <v>323</v>
      </c>
      <c r="I18" s="529" t="s">
        <v>323</v>
      </c>
      <c r="J18" s="586" t="s">
        <v>323</v>
      </c>
      <c r="K18" s="2387" t="s">
        <v>323</v>
      </c>
      <c r="L18" s="2281" t="s">
        <v>323</v>
      </c>
      <c r="M18" s="2387" t="s">
        <v>323</v>
      </c>
      <c r="N18" s="2281" t="s">
        <v>323</v>
      </c>
      <c r="O18" s="2387" t="s">
        <v>323</v>
      </c>
      <c r="P18" s="2281" t="s">
        <v>323</v>
      </c>
      <c r="Q18" s="2387" t="s">
        <v>323</v>
      </c>
      <c r="R18" s="2281" t="s">
        <v>323</v>
      </c>
      <c r="S18" s="297" t="s">
        <v>1368</v>
      </c>
      <c r="AD18" s="513">
        <v>46</v>
      </c>
    </row>
    <row customHeight="1" ht="35.699999999999996">
      <c r="A19" s="513"/>
      <c r="C19" s="534"/>
      <c r="D19" s="547" t="s">
        <v>341</v>
      </c>
      <c r="E19" s="567" t="s">
        <v>861</v>
      </c>
      <c r="F19" s="529" t="s">
        <v>862</v>
      </c>
      <c r="G19" s="825"/>
      <c r="H19" s="114"/>
      <c r="I19" s="825"/>
      <c r="J19" s="826"/>
      <c r="K19" s="825"/>
      <c r="L19" s="2522"/>
      <c r="M19" s="825"/>
      <c r="N19" s="2522"/>
      <c r="O19" s="825"/>
      <c r="P19" s="2522"/>
      <c r="Q19" s="825"/>
      <c r="R19" s="2522"/>
      <c r="S19" s="687"/>
      <c r="AD19" s="513">
        <v>34</v>
      </c>
    </row>
    <row customHeight="1" ht="35.699999999999996">
      <c r="A20" s="513"/>
      <c r="C20" s="534"/>
      <c r="D20" s="1895" t="s">
        <v>349</v>
      </c>
      <c r="E20" s="567" t="s">
        <v>863</v>
      </c>
      <c r="F20" s="529" t="s">
        <v>864</v>
      </c>
      <c r="G20" s="825"/>
      <c r="H20" s="114"/>
      <c r="I20" s="825"/>
      <c r="J20" s="114"/>
      <c r="K20" s="825"/>
      <c r="L20" s="2522"/>
      <c r="M20" s="825"/>
      <c r="N20" s="2522"/>
      <c r="O20" s="825"/>
      <c r="P20" s="2522"/>
      <c r="Q20" s="825"/>
      <c r="R20" s="2522"/>
      <c r="S20" s="687"/>
      <c r="AD20" s="513">
        <v>34</v>
      </c>
    </row>
    <row customHeight="1" ht="48.29999999999999">
      <c r="A21" s="513"/>
      <c r="C21" s="534"/>
      <c r="D21" s="1895" t="s">
        <v>351</v>
      </c>
      <c r="E21" s="567" t="s">
        <v>865</v>
      </c>
      <c r="F21" s="529" t="s">
        <v>588</v>
      </c>
      <c r="G21" s="688"/>
      <c r="H21" s="114"/>
      <c r="I21" s="688"/>
      <c r="J21" s="114"/>
      <c r="K21" s="688"/>
      <c r="L21" s="2522"/>
      <c r="M21" s="688"/>
      <c r="N21" s="2522"/>
      <c r="O21" s="688"/>
      <c r="P21" s="2522"/>
      <c r="Q21" s="688"/>
      <c r="R21" s="2522"/>
      <c r="S21" s="687"/>
      <c r="AD21" s="513">
        <v>46</v>
      </c>
    </row>
    <row customHeight="1" ht="67.5" hidden="1">
      <c r="A22" s="513"/>
      <c r="C22" s="534"/>
      <c r="D22" s="529">
        <v>5</v>
      </c>
      <c r="E22" s="287" t="s">
        <v>1369</v>
      </c>
      <c r="F22" s="529" t="s">
        <v>575</v>
      </c>
      <c r="G22" s="689"/>
      <c r="H22" s="690"/>
      <c r="I22" s="689"/>
      <c r="J22" s="690"/>
      <c r="K22" s="689"/>
      <c r="L22" s="1447"/>
      <c r="M22" s="689"/>
      <c r="N22" s="1447"/>
      <c r="O22" s="689"/>
      <c r="P22" s="1447"/>
      <c r="Q22" s="689"/>
      <c r="R22" s="1447"/>
      <c r="S22" s="297" t="s">
        <v>1370</v>
      </c>
      <c r="AD22" s="513">
        <v>0</v>
      </c>
    </row>
    <row customHeight="1" ht="33.75" hidden="1">
      <c r="C23" s="459"/>
      <c r="D23" s="529">
        <v>6</v>
      </c>
      <c r="E23" s="287" t="s">
        <v>1371</v>
      </c>
      <c r="F23" s="529" t="s">
        <v>1372</v>
      </c>
      <c r="G23" s="689"/>
      <c r="H23" s="689"/>
      <c r="I23" s="689"/>
      <c r="J23" s="689"/>
      <c r="K23" s="689"/>
      <c r="L23" s="689"/>
      <c r="M23" s="689"/>
      <c r="N23" s="689"/>
      <c r="O23" s="689"/>
      <c r="P23" s="689"/>
      <c r="Q23" s="689"/>
      <c r="R23" s="689"/>
      <c r="S23" s="297" t="s">
        <v>1373</v>
      </c>
      <c r="AD23" s="513">
        <v>0</v>
      </c>
    </row>
    <row customHeight="1" ht="15.75">
      <c r="K24" s="1643"/>
      <c r="L24" s="1643"/>
      <c r="M24" s="1643"/>
      <c r="N24" s="1643"/>
      <c r="O24" s="1643"/>
      <c r="P24" s="1643"/>
      <c r="Q24" s="1643"/>
      <c r="R24" s="1643"/>
      <c r="AD24" s="513">
        <v>15</v>
      </c>
    </row>
    <row customHeight="1" ht="15.75">
      <c r="K25" s="1643"/>
      <c r="L25" s="1643"/>
      <c r="M25" s="1643"/>
      <c r="N25" s="1643"/>
      <c r="O25" s="1643"/>
      <c r="P25" s="1643"/>
      <c r="Q25" s="1643"/>
      <c r="R25" s="1643"/>
      <c r="AD25" s="513">
        <v>15</v>
      </c>
    </row>
    <row customHeight="1" ht="15.75">
      <c r="K26" s="1643"/>
      <c r="L26" s="1643"/>
      <c r="M26" s="1643"/>
      <c r="N26" s="1643"/>
      <c r="O26" s="1643"/>
      <c r="P26" s="1643"/>
      <c r="Q26" s="1643"/>
      <c r="R26" s="1643"/>
      <c r="AD26" s="513">
        <v>15</v>
      </c>
    </row>
    <row customHeight="1" ht="15.75">
      <c r="K27" s="1643"/>
      <c r="L27" s="1643"/>
      <c r="M27" s="1643"/>
      <c r="N27" s="1643"/>
      <c r="O27" s="1643"/>
      <c r="P27" s="1643"/>
      <c r="Q27" s="1643"/>
      <c r="R27" s="1643"/>
      <c r="AD27" s="513">
        <v>15</v>
      </c>
    </row>
    <row customHeight="1" ht="15.75">
      <c r="K28" s="1643"/>
      <c r="L28" s="1643"/>
      <c r="M28" s="1643"/>
      <c r="N28" s="1643"/>
      <c r="O28" s="1643"/>
      <c r="P28" s="1643"/>
      <c r="Q28" s="1643"/>
      <c r="R28" s="1643"/>
      <c r="AD28" s="513">
        <v>15</v>
      </c>
    </row>
    <row customHeight="1" ht="15.75">
      <c r="J29" s="827"/>
      <c r="K29" s="1643"/>
      <c r="L29" s="1643"/>
      <c r="M29" s="1643"/>
      <c r="N29" s="1643"/>
      <c r="O29" s="1643"/>
      <c r="P29" s="1643"/>
      <c r="Q29" s="1643"/>
      <c r="R29" s="1643"/>
      <c r="AD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425">
        <v>50</v>
      </c>
      <c r="T30" s="513">
        <v>10</v>
      </c>
      <c r="U30" s="513">
        <v>10</v>
      </c>
      <c r="V30" s="513">
        <v>10</v>
      </c>
      <c r="W30" s="513">
        <v>10</v>
      </c>
      <c r="X30" s="513">
        <v>10</v>
      </c>
      <c r="Y30" s="513">
        <v>10</v>
      </c>
      <c r="Z30" s="513">
        <v>10</v>
      </c>
      <c r="AA30" s="513">
        <v>10</v>
      </c>
      <c r="AB30" s="513">
        <v>10</v>
      </c>
      <c r="AC30" s="683">
        <v>10</v>
      </c>
      <c r="AD30" s="513">
        <v>23</v>
      </c>
    </row>
  </sheetData>
  <sheetProtection sheet="1" formatColumns="0" formatRows="0" autoFilter="0" sort="1" insertRows="1" insertColumns="1" deleteRows="1" deleteColumns="1"/>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66667B-5885-48C6-C859-24B3398DB01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5" width="11.00390625" customWidth="1"/>
    <col min="3" max="3" style="1855" width="9.140625"/>
    <col min="4" max="4" style="1855"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8" style="1074" width="34.57421875" customWidth="1"/>
    <col min="59" max="59" style="1830"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5" customFormat="1" customHeight="1" ht="11.25">
      <c r="A1" s="1075" t="s">
        <v>1374</v>
      </c>
      <c r="B1" s="1075" t="s">
        <v>1375</v>
      </c>
      <c r="C1" s="1075" t="s">
        <v>1376</v>
      </c>
      <c r="D1" s="1075" t="s">
        <v>1377</v>
      </c>
      <c r="E1" s="1075" t="s">
        <v>1378</v>
      </c>
      <c r="F1" s="1075" t="s">
        <v>1379</v>
      </c>
      <c r="G1" s="1075" t="s">
        <v>1380</v>
      </c>
      <c r="H1" s="1075" t="s">
        <v>1381</v>
      </c>
      <c r="I1" s="1075" t="s">
        <v>1382</v>
      </c>
      <c r="J1" s="1075" t="s">
        <v>1383</v>
      </c>
      <c r="K1" s="1075" t="s">
        <v>1384</v>
      </c>
      <c r="L1" s="1075" t="s">
        <v>1385</v>
      </c>
      <c r="M1" s="1075"/>
      <c r="N1" s="1075" t="s">
        <v>1386</v>
      </c>
      <c r="O1" s="1075" t="s">
        <v>1387</v>
      </c>
      <c r="P1" s="1075" t="s">
        <v>1388</v>
      </c>
      <c r="Q1" s="1075" t="s">
        <v>1389</v>
      </c>
      <c r="R1" s="1075" t="s">
        <v>1390</v>
      </c>
      <c r="S1" s="1075" t="s">
        <v>1391</v>
      </c>
      <c r="T1" s="1075" t="s">
        <v>1392</v>
      </c>
      <c r="U1" s="1075" t="s">
        <v>1393</v>
      </c>
      <c r="V1" s="1075"/>
      <c r="W1" s="805" t="s">
        <v>1394</v>
      </c>
      <c r="X1" s="1075" t="s">
        <v>1395</v>
      </c>
      <c r="Y1" s="1075" t="s">
        <v>1396</v>
      </c>
      <c r="Z1" s="1075"/>
      <c r="AA1" s="1075" t="s">
        <v>1397</v>
      </c>
      <c r="AB1" s="1075"/>
      <c r="AC1" s="1075" t="s">
        <v>1398</v>
      </c>
      <c r="AD1" s="1075"/>
      <c r="AF1" s="1075" t="s">
        <v>1399</v>
      </c>
      <c r="AH1" s="1075" t="s">
        <v>1400</v>
      </c>
      <c r="AI1" s="1075" t="s">
        <v>1401</v>
      </c>
      <c r="AK1" s="1075" t="s">
        <v>1402</v>
      </c>
      <c r="AM1" s="1075" t="s">
        <v>1403</v>
      </c>
      <c r="AP1" s="1075" t="s">
        <v>1404</v>
      </c>
      <c r="AQ1" s="1075" t="s">
        <v>1405</v>
      </c>
      <c r="AS1" s="1075" t="s">
        <v>1406</v>
      </c>
      <c r="AU1" s="1075" t="s">
        <v>1407</v>
      </c>
      <c r="AW1" s="1075" t="s">
        <v>1408</v>
      </c>
      <c r="AX1" s="1075" t="s">
        <v>1409</v>
      </c>
      <c r="AZ1" s="1160" t="s">
        <v>1410</v>
      </c>
      <c r="BB1" s="1075" t="s">
        <v>1411</v>
      </c>
      <c r="BC1" s="1075"/>
      <c r="BE1" s="1075" t="s">
        <v>1412</v>
      </c>
      <c r="BF1" s="1075" t="s">
        <v>1413</v>
      </c>
      <c r="BH1" s="1077" t="s">
        <v>852</v>
      </c>
      <c r="BI1" s="1078"/>
      <c r="BJ1" s="1079" t="s">
        <v>1414</v>
      </c>
      <c r="BK1" s="1078"/>
      <c r="BL1" s="1080" t="s">
        <v>952</v>
      </c>
      <c r="BM1" s="1078"/>
      <c r="BN1" s="1081" t="s">
        <v>1415</v>
      </c>
      <c r="BS1" s="1435"/>
    </row>
    <row customHeight="1" ht="11.25">
      <c r="A2" s="1082" t="s">
        <v>1416</v>
      </c>
      <c r="B2" s="1083">
        <v>2000</v>
      </c>
      <c r="C2" s="1083">
        <v>2022</v>
      </c>
      <c r="D2" s="1083" t="s">
        <v>61</v>
      </c>
      <c r="E2" s="1084" t="s">
        <v>1417</v>
      </c>
      <c r="F2" s="1084" t="s">
        <v>1418</v>
      </c>
      <c r="G2" s="1084" t="s">
        <v>1419</v>
      </c>
      <c r="H2" s="1085" t="s">
        <v>54</v>
      </c>
      <c r="I2" s="1084" t="s">
        <v>118</v>
      </c>
      <c r="J2" s="1084" t="s">
        <v>1420</v>
      </c>
      <c r="K2" s="1086" t="s">
        <v>1421</v>
      </c>
      <c r="L2" s="1087"/>
      <c r="M2" s="1086">
        <v>1</v>
      </c>
      <c r="N2" s="1170" t="s">
        <v>1422</v>
      </c>
      <c r="O2" s="1085" t="s">
        <v>1423</v>
      </c>
      <c r="P2" s="1088" t="s">
        <v>37</v>
      </c>
      <c r="Q2" s="1089" t="s">
        <v>1424</v>
      </c>
      <c r="R2" s="151" t="s">
        <v>1425</v>
      </c>
      <c r="S2" s="151" t="s">
        <v>1426</v>
      </c>
      <c r="T2" s="1090" t="s">
        <v>1427</v>
      </c>
      <c r="U2" s="1087" t="s">
        <v>1428</v>
      </c>
      <c r="V2" s="1091">
        <v>1</v>
      </c>
      <c r="W2" s="1092"/>
      <c r="X2" s="1092" t="s">
        <v>1429</v>
      </c>
      <c r="Y2" s="1083" t="s">
        <v>1430</v>
      </c>
      <c r="Z2" s="1093"/>
      <c r="AA2" s="1083" t="s">
        <v>1431</v>
      </c>
      <c r="AB2" s="1094" t="s">
        <v>1431</v>
      </c>
      <c r="AC2" s="1083" t="s">
        <v>1432</v>
      </c>
      <c r="AD2" s="1094" t="s">
        <v>1432</v>
      </c>
      <c r="AF2" s="1085" t="s">
        <v>1428</v>
      </c>
      <c r="AH2" s="1084" t="s">
        <v>1433</v>
      </c>
      <c r="AI2" s="1084" t="s">
        <v>1433</v>
      </c>
      <c r="AK2" s="1084" t="s">
        <v>1434</v>
      </c>
      <c r="AM2" s="1084" t="s">
        <v>1435</v>
      </c>
      <c r="AP2" s="1095" t="s">
        <v>1429</v>
      </c>
      <c r="AQ2" s="1096" t="s">
        <v>1429</v>
      </c>
      <c r="AS2" s="1083" t="s">
        <v>1436</v>
      </c>
      <c r="AU2" s="1128" t="s">
        <v>1437</v>
      </c>
      <c r="AW2" s="1128" t="s">
        <v>1438</v>
      </c>
      <c r="AX2" s="1128" t="s">
        <v>1438</v>
      </c>
      <c r="AZ2" s="1128" t="s">
        <v>1439</v>
      </c>
      <c r="BB2" s="1128" t="s">
        <v>1440</v>
      </c>
      <c r="BC2" s="1128" t="s">
        <v>1441</v>
      </c>
      <c r="BE2" s="2093" t="s">
        <v>1078</v>
      </c>
      <c r="BF2" s="2093" t="s">
        <v>1078</v>
      </c>
    </row>
    <row customHeight="1" ht="11.25">
      <c r="A3" s="1082" t="s">
        <v>16</v>
      </c>
      <c r="B3" s="1083">
        <v>2001</v>
      </c>
      <c r="C3" s="1083">
        <v>2023</v>
      </c>
      <c r="D3" s="1083" t="s">
        <v>19</v>
      </c>
      <c r="E3" s="1084" t="s">
        <v>1442</v>
      </c>
      <c r="F3" s="1084" t="s">
        <v>1443</v>
      </c>
      <c r="G3" s="1084" t="s">
        <v>1444</v>
      </c>
      <c r="H3" s="1085" t="s">
        <v>1445</v>
      </c>
      <c r="I3" s="1084" t="s">
        <v>102</v>
      </c>
      <c r="J3" s="1084" t="s">
        <v>573</v>
      </c>
      <c r="K3" s="1086" t="s">
        <v>1446</v>
      </c>
      <c r="L3" s="1087">
        <f>_xlfn.IFERROR(MATCH(K3,OFFER_METHOD,0),0)</f>
        <v>0</v>
      </c>
      <c r="M3" s="1086">
        <v>2</v>
      </c>
      <c r="N3" s="1170" t="s">
        <v>1447</v>
      </c>
      <c r="O3" s="1085" t="s">
        <v>1448</v>
      </c>
      <c r="P3" s="1088" t="s">
        <v>1449</v>
      </c>
      <c r="Q3" s="1089" t="s">
        <v>1450</v>
      </c>
      <c r="R3" s="151" t="s">
        <v>1451</v>
      </c>
      <c r="S3" s="151" t="s">
        <v>1452</v>
      </c>
      <c r="T3" s="1090" t="s">
        <v>1453</v>
      </c>
      <c r="U3" s="1087" t="s">
        <v>1454</v>
      </c>
      <c r="V3" s="1091">
        <v>2</v>
      </c>
      <c r="W3" s="1092"/>
      <c r="X3" s="1092" t="s">
        <v>1455</v>
      </c>
      <c r="Y3" s="1083" t="s">
        <v>1430</v>
      </c>
      <c r="Z3" s="1093"/>
      <c r="AA3" s="1083" t="s">
        <v>1456</v>
      </c>
      <c r="AB3" s="1094" t="s">
        <v>1456</v>
      </c>
      <c r="AC3" s="1083" t="s">
        <v>1457</v>
      </c>
      <c r="AD3" s="1094" t="s">
        <v>1457</v>
      </c>
      <c r="AF3" s="1085" t="s">
        <v>1454</v>
      </c>
      <c r="AH3" s="1084" t="s">
        <v>1458</v>
      </c>
      <c r="AI3" s="1084" t="s">
        <v>1459</v>
      </c>
      <c r="AK3" s="1084" t="s">
        <v>1460</v>
      </c>
      <c r="AM3" s="1084" t="s">
        <v>1461</v>
      </c>
      <c r="AP3" s="1095" t="s">
        <v>1462</v>
      </c>
      <c r="AQ3" s="1096" t="s">
        <v>1462</v>
      </c>
      <c r="AS3" s="1083" t="s">
        <v>1463</v>
      </c>
      <c r="AU3" s="1128" t="s">
        <v>1464</v>
      </c>
      <c r="AW3" s="1128" t="s">
        <v>1465</v>
      </c>
      <c r="AX3" s="1128" t="s">
        <v>1465</v>
      </c>
      <c r="AZ3" s="1128" t="s">
        <v>52</v>
      </c>
      <c r="BB3" s="1128" t="s">
        <v>1466</v>
      </c>
      <c r="BC3" s="1128" t="s">
        <v>1441</v>
      </c>
      <c r="BE3" s="2093" t="s">
        <v>1132</v>
      </c>
      <c r="BF3" s="2093" t="s">
        <v>1132</v>
      </c>
      <c r="BH3" s="1075" t="s">
        <v>1467</v>
      </c>
      <c r="BJ3" s="1075" t="s">
        <v>1468</v>
      </c>
      <c r="BL3" s="1075" t="s">
        <v>1469</v>
      </c>
      <c r="BN3" s="1075" t="s">
        <v>1470</v>
      </c>
      <c r="BR3" s="1075" t="s">
        <v>1471</v>
      </c>
      <c r="BS3" s="1436"/>
      <c r="BT3" s="1078"/>
      <c r="BU3" s="1075" t="s">
        <v>1472</v>
      </c>
      <c r="BV3" s="1078"/>
      <c r="BW3" s="1697"/>
      <c r="BX3" s="1699" t="s">
        <v>1473</v>
      </c>
      <c r="CA3" s="1075" t="s">
        <v>1474</v>
      </c>
    </row>
    <row customHeight="1" ht="11.25">
      <c r="A4" s="1082" t="s">
        <v>1475</v>
      </c>
      <c r="B4" s="1083">
        <v>2002</v>
      </c>
      <c r="C4" s="1083">
        <v>2024</v>
      </c>
      <c r="E4" s="1084" t="s">
        <v>1476</v>
      </c>
      <c r="F4" s="1084" t="s">
        <v>1477</v>
      </c>
      <c r="H4" s="1085" t="s">
        <v>1478</v>
      </c>
      <c r="I4" s="1084" t="s">
        <v>90</v>
      </c>
      <c r="J4" s="1084" t="s">
        <v>1479</v>
      </c>
      <c r="K4" s="1086" t="s">
        <v>1480</v>
      </c>
      <c r="L4" s="1087">
        <f>_xlfn.IFERROR(MATCH(K4,OFFER_METHOD,0),0)</f>
        <v>0</v>
      </c>
      <c r="M4" s="1086">
        <v>3</v>
      </c>
      <c r="N4" s="1170" t="s">
        <v>1481</v>
      </c>
      <c r="O4" s="1084" t="s">
        <v>1482</v>
      </c>
      <c r="Q4" s="1089" t="s">
        <v>1483</v>
      </c>
      <c r="R4" s="151" t="s">
        <v>1484</v>
      </c>
      <c r="S4" s="151" t="s">
        <v>1485</v>
      </c>
      <c r="T4" s="1090" t="s">
        <v>1486</v>
      </c>
      <c r="U4" s="1087" t="s">
        <v>1487</v>
      </c>
      <c r="V4" s="1091">
        <v>3</v>
      </c>
      <c r="W4" s="1092"/>
      <c r="X4" s="1092" t="s">
        <v>1488</v>
      </c>
      <c r="Y4" s="1083" t="s">
        <v>1430</v>
      </c>
      <c r="Z4" s="1099"/>
      <c r="AC4" s="1083" t="s">
        <v>1489</v>
      </c>
      <c r="AD4" s="1094" t="s">
        <v>1489</v>
      </c>
      <c r="AF4" s="1085" t="s">
        <v>1487</v>
      </c>
      <c r="AH4" s="1085" t="s">
        <v>1490</v>
      </c>
      <c r="AK4" s="1084" t="s">
        <v>1491</v>
      </c>
      <c r="AM4" s="1084" t="s">
        <v>1492</v>
      </c>
      <c r="AP4" s="1095" t="s">
        <v>1455</v>
      </c>
      <c r="AQ4" s="1096" t="s">
        <v>1455</v>
      </c>
      <c r="AS4" s="1083" t="s">
        <v>1493</v>
      </c>
      <c r="AU4" s="1128" t="s">
        <v>1494</v>
      </c>
      <c r="AW4" s="1128" t="s">
        <v>1495</v>
      </c>
      <c r="AX4" s="1128" t="s">
        <v>1495</v>
      </c>
      <c r="AZ4" s="1128" t="s">
        <v>1496</v>
      </c>
      <c r="BB4" s="1128" t="s">
        <v>1497</v>
      </c>
      <c r="BC4" s="1128" t="s">
        <v>1498</v>
      </c>
      <c r="BE4" s="1128">
        <v>2000</v>
      </c>
      <c r="BF4" s="1128" t="s">
        <v>1499</v>
      </c>
      <c r="BH4" s="1076" t="s">
        <v>1500</v>
      </c>
      <c r="BJ4" s="1076" t="s">
        <v>1500</v>
      </c>
      <c r="BL4" s="1076" t="s">
        <v>1500</v>
      </c>
      <c r="BN4" s="1076" t="s">
        <v>1500</v>
      </c>
      <c r="BQ4" s="1440" t="s">
        <v>1501</v>
      </c>
      <c r="BR4" s="1167" t="s">
        <v>1502</v>
      </c>
      <c r="BS4" s="282"/>
      <c r="BT4" s="1440" t="s">
        <v>1503</v>
      </c>
      <c r="BU4" s="1167" t="s">
        <v>1504</v>
      </c>
      <c r="BV4" s="1078"/>
      <c r="BW4" s="1704" t="s">
        <v>1505</v>
      </c>
      <c r="BX4" s="1698" t="s">
        <v>1506</v>
      </c>
      <c r="BZ4" s="1440" t="s">
        <v>1507</v>
      </c>
      <c r="CA4" s="1167" t="s">
        <v>1508</v>
      </c>
    </row>
    <row customHeight="1" ht="11.25">
      <c r="A5" s="1082" t="s">
        <v>1509</v>
      </c>
      <c r="B5" s="1083">
        <v>2003</v>
      </c>
      <c r="C5" s="1083">
        <v>2025</v>
      </c>
      <c r="E5" s="1084" t="s">
        <v>1510</v>
      </c>
      <c r="F5" s="1084" t="s">
        <v>1511</v>
      </c>
      <c r="H5" s="1085" t="s">
        <v>1512</v>
      </c>
      <c r="I5" s="1084" t="s">
        <v>91</v>
      </c>
      <c r="K5" s="1086" t="s">
        <v>1513</v>
      </c>
      <c r="L5" s="1087">
        <f>_xlfn.IFERROR(MATCH(K5,OFFER_METHOD,0),0)</f>
        <v>0</v>
      </c>
      <c r="M5" s="1086">
        <v>4</v>
      </c>
      <c r="N5" s="1100" t="s">
        <v>1514</v>
      </c>
      <c r="O5" s="1084" t="s">
        <v>1515</v>
      </c>
      <c r="Q5" s="1089" t="s">
        <v>1516</v>
      </c>
      <c r="R5" s="151" t="s">
        <v>1517</v>
      </c>
      <c r="T5" s="1085" t="s">
        <v>1518</v>
      </c>
      <c r="U5" s="1087" t="s">
        <v>1519</v>
      </c>
      <c r="V5" s="1091">
        <v>4</v>
      </c>
      <c r="W5" s="1092"/>
      <c r="X5" s="1092" t="s">
        <v>185</v>
      </c>
      <c r="Y5" s="1083" t="s">
        <v>1520</v>
      </c>
      <c r="Z5" s="1099">
        <v>1</v>
      </c>
      <c r="AF5" s="1085" t="s">
        <v>1521</v>
      </c>
      <c r="AH5" s="1084" t="s">
        <v>1522</v>
      </c>
      <c r="AK5" s="1084" t="s">
        <v>1523</v>
      </c>
      <c r="AM5" s="1084" t="s">
        <v>1524</v>
      </c>
      <c r="AP5" s="1095" t="s">
        <v>185</v>
      </c>
      <c r="AQ5" s="1096" t="s">
        <v>185</v>
      </c>
      <c r="AU5" s="1128" t="s">
        <v>1525</v>
      </c>
      <c r="AW5" s="1128" t="s">
        <v>1526</v>
      </c>
      <c r="AX5" s="1128" t="s">
        <v>1526</v>
      </c>
      <c r="AZ5" s="1128" t="s">
        <v>1527</v>
      </c>
      <c r="BB5" s="1128" t="s">
        <v>1528</v>
      </c>
      <c r="BC5" s="1128" t="s">
        <v>1529</v>
      </c>
      <c r="BE5" s="1128">
        <v>2001</v>
      </c>
      <c r="BF5" s="1128" t="s">
        <v>1530</v>
      </c>
      <c r="BH5" s="1076" t="s">
        <v>1531</v>
      </c>
      <c r="BJ5" s="1076" t="s">
        <v>1531</v>
      </c>
      <c r="BL5" s="1076" t="s">
        <v>1531</v>
      </c>
      <c r="BN5" s="1076" t="s">
        <v>1532</v>
      </c>
      <c r="BQ5" s="1289">
        <v>4213775</v>
      </c>
      <c r="BR5" s="1076" t="s">
        <v>1429</v>
      </c>
      <c r="BS5" s="1437"/>
      <c r="BT5" s="1289">
        <v>64236871</v>
      </c>
      <c r="BU5" s="1076" t="s">
        <v>246</v>
      </c>
      <c r="BV5" s="1078"/>
      <c r="BW5" s="1702">
        <v>4213767</v>
      </c>
      <c r="BX5" s="1700" t="s">
        <v>1533</v>
      </c>
      <c r="BZ5" s="1289">
        <v>64237509</v>
      </c>
      <c r="CA5" s="1303" t="s">
        <v>1534</v>
      </c>
    </row>
    <row customHeight="1" ht="11.25">
      <c r="A6" s="1082" t="s">
        <v>1535</v>
      </c>
      <c r="B6" s="1083">
        <v>2004</v>
      </c>
      <c r="C6" s="1083">
        <v>2026</v>
      </c>
      <c r="E6" s="1084" t="s">
        <v>1536</v>
      </c>
      <c r="F6" s="1101"/>
      <c r="H6" s="1085" t="s">
        <v>1537</v>
      </c>
      <c r="I6" s="1084" t="s">
        <v>119</v>
      </c>
      <c r="J6" s="1075" t="s">
        <v>1538</v>
      </c>
      <c r="L6" s="1087">
        <f>SUM(kind_of_control_method_filter)</f>
        <v>0</v>
      </c>
      <c r="N6" s="1100" t="s">
        <v>1539</v>
      </c>
      <c r="O6" s="1084" t="s">
        <v>1540</v>
      </c>
      <c r="R6" s="151" t="s">
        <v>1424</v>
      </c>
      <c r="T6" s="1085" t="s">
        <v>1541</v>
      </c>
      <c r="U6" s="1087" t="s">
        <v>1521</v>
      </c>
      <c r="V6" s="1091">
        <v>5</v>
      </c>
      <c r="W6" s="1092"/>
      <c r="X6" s="1083" t="s">
        <v>191</v>
      </c>
      <c r="Y6" s="1083" t="s">
        <v>1542</v>
      </c>
      <c r="Z6" s="1099"/>
      <c r="AA6" s="1102"/>
      <c r="AH6" s="1084" t="s">
        <v>1543</v>
      </c>
      <c r="AK6" s="1084" t="s">
        <v>1544</v>
      </c>
      <c r="AM6" s="1084" t="s">
        <v>1545</v>
      </c>
      <c r="AP6" s="1095" t="s">
        <v>191</v>
      </c>
      <c r="AQ6" s="1096" t="s">
        <v>191</v>
      </c>
      <c r="AU6" s="1128" t="s">
        <v>1546</v>
      </c>
      <c r="AW6" s="1128" t="s">
        <v>1547</v>
      </c>
      <c r="AX6" s="1128" t="s">
        <v>1547</v>
      </c>
      <c r="BB6" s="1128" t="s">
        <v>1548</v>
      </c>
      <c r="BC6" s="1128" t="s">
        <v>1529</v>
      </c>
      <c r="BE6" s="1128">
        <v>2002</v>
      </c>
      <c r="BF6" s="1128" t="s">
        <v>1549</v>
      </c>
      <c r="BH6" s="1076" t="s">
        <v>1550</v>
      </c>
      <c r="BJ6" s="1076" t="s">
        <v>1551</v>
      </c>
      <c r="BL6" s="1076" t="s">
        <v>1551</v>
      </c>
      <c r="BN6" s="1076" t="s">
        <v>1552</v>
      </c>
      <c r="BQ6" s="1289">
        <v>4213784</v>
      </c>
      <c r="BR6" s="1303" t="s">
        <v>1462</v>
      </c>
      <c r="BS6" s="1438"/>
      <c r="BT6" s="1289">
        <v>64236872</v>
      </c>
      <c r="BU6" s="1076" t="s">
        <v>251</v>
      </c>
      <c r="BV6" s="1078"/>
      <c r="BW6" s="1702">
        <v>4213768</v>
      </c>
      <c r="BX6" s="1700" t="s">
        <v>271</v>
      </c>
      <c r="BZ6" s="1289">
        <v>64237510</v>
      </c>
      <c r="CA6" s="1076" t="s">
        <v>1553</v>
      </c>
    </row>
    <row customHeight="1" ht="11.25">
      <c r="A7" s="1082" t="s">
        <v>1554</v>
      </c>
      <c r="B7" s="1083">
        <v>2005</v>
      </c>
      <c r="E7" s="1084" t="s">
        <v>1555</v>
      </c>
      <c r="F7" s="1101"/>
      <c r="H7" s="1085" t="s">
        <v>1556</v>
      </c>
      <c r="I7" s="1084" t="s">
        <v>92</v>
      </c>
      <c r="J7" s="1084" t="s">
        <v>1557</v>
      </c>
      <c r="N7" s="1104" t="s">
        <v>1558</v>
      </c>
      <c r="O7" s="1084" t="s">
        <v>1559</v>
      </c>
      <c r="U7" s="1087" t="s">
        <v>19</v>
      </c>
      <c r="V7" s="378" t="s">
        <v>92</v>
      </c>
      <c r="W7" s="1092"/>
      <c r="X7" s="1083" t="s">
        <v>197</v>
      </c>
      <c r="Y7" s="1083" t="s">
        <v>1520</v>
      </c>
      <c r="Z7" s="1099"/>
      <c r="AA7" s="1102"/>
      <c r="AH7" s="1084" t="s">
        <v>1560</v>
      </c>
      <c r="AK7" s="1084" t="s">
        <v>1561</v>
      </c>
      <c r="AM7" s="1084" t="s">
        <v>1562</v>
      </c>
      <c r="AP7" s="1095" t="s">
        <v>197</v>
      </c>
      <c r="AQ7" s="1096" t="s">
        <v>197</v>
      </c>
      <c r="AU7" s="1128" t="s">
        <v>1563</v>
      </c>
      <c r="AW7" s="1128" t="s">
        <v>1564</v>
      </c>
      <c r="AX7" s="1128" t="s">
        <v>1564</v>
      </c>
      <c r="AZ7" s="1075" t="s">
        <v>1565</v>
      </c>
      <c r="BB7" s="1128" t="s">
        <v>1566</v>
      </c>
      <c r="BC7" s="1128" t="s">
        <v>1529</v>
      </c>
      <c r="BE7" s="1128">
        <v>2003</v>
      </c>
      <c r="BF7" s="1128" t="s">
        <v>1567</v>
      </c>
      <c r="BH7" s="1076" t="s">
        <v>1094</v>
      </c>
      <c r="BJ7" s="1076" t="s">
        <v>1550</v>
      </c>
      <c r="BL7" s="1076" t="s">
        <v>1550</v>
      </c>
      <c r="BN7" s="1076" t="s">
        <v>1568</v>
      </c>
      <c r="BQ7" s="1289">
        <v>4213781</v>
      </c>
      <c r="BR7" s="1076" t="s">
        <v>1455</v>
      </c>
      <c r="BS7" s="1437"/>
      <c r="BT7" s="1289">
        <v>64236873</v>
      </c>
      <c r="BU7" s="1076" t="s">
        <v>256</v>
      </c>
      <c r="BV7" s="1078"/>
      <c r="BW7" s="1702">
        <v>4213769</v>
      </c>
      <c r="BX7" s="1700" t="s">
        <v>1569</v>
      </c>
      <c r="BZ7" s="1289">
        <v>64237511</v>
      </c>
      <c r="CA7" s="1076" t="s">
        <v>286</v>
      </c>
    </row>
    <row customHeight="1" ht="11.25">
      <c r="A8" s="1082" t="s">
        <v>1570</v>
      </c>
      <c r="B8" s="1083">
        <v>2006</v>
      </c>
      <c r="E8" s="1084" t="s">
        <v>1571</v>
      </c>
      <c r="F8" s="1101"/>
      <c r="H8" s="1085" t="s">
        <v>1572</v>
      </c>
      <c r="I8" s="1084" t="s">
        <v>93</v>
      </c>
      <c r="J8" s="1084" t="s">
        <v>1573</v>
      </c>
      <c r="N8" s="1171" t="s">
        <v>1574</v>
      </c>
      <c r="O8" s="1084" t="s">
        <v>1575</v>
      </c>
      <c r="V8" s="378" t="s">
        <v>93</v>
      </c>
      <c r="W8" s="1092"/>
      <c r="X8" s="1083" t="s">
        <v>203</v>
      </c>
      <c r="Y8" s="1083" t="s">
        <v>1520</v>
      </c>
      <c r="Z8" s="1099"/>
      <c r="AA8" s="1102"/>
      <c r="AK8" s="1084" t="s">
        <v>1576</v>
      </c>
      <c r="AP8" s="1095" t="s">
        <v>203</v>
      </c>
      <c r="AQ8" s="1096" t="s">
        <v>203</v>
      </c>
      <c r="AU8" s="1128" t="s">
        <v>1577</v>
      </c>
      <c r="AW8" s="1128" t="s">
        <v>1578</v>
      </c>
      <c r="AX8" s="1128" t="s">
        <v>1578</v>
      </c>
      <c r="AZ8" s="1128" t="s">
        <v>1579</v>
      </c>
      <c r="BB8" s="1128" t="s">
        <v>1580</v>
      </c>
      <c r="BC8" s="1128" t="s">
        <v>1529</v>
      </c>
      <c r="BE8" s="1128">
        <v>2004</v>
      </c>
      <c r="BF8" s="1128" t="s">
        <v>1147</v>
      </c>
      <c r="BH8" s="1076" t="s">
        <v>1581</v>
      </c>
      <c r="BJ8" s="1076" t="s">
        <v>1582</v>
      </c>
      <c r="BL8" s="1076" t="s">
        <v>1582</v>
      </c>
      <c r="BN8" s="1076" t="s">
        <v>1097</v>
      </c>
      <c r="BQ8" s="1289">
        <v>4213776</v>
      </c>
      <c r="BR8" s="1076" t="s">
        <v>185</v>
      </c>
      <c r="BS8" s="1437"/>
      <c r="BT8" s="1289">
        <v>64236874</v>
      </c>
      <c r="BU8" s="1303" t="s">
        <v>1583</v>
      </c>
      <c r="BV8" s="1078"/>
      <c r="BW8" s="1702">
        <v>4213770</v>
      </c>
      <c r="BX8" s="1703" t="s">
        <v>1584</v>
      </c>
      <c r="BZ8" s="1289">
        <v>64237512</v>
      </c>
      <c r="CA8" s="1076" t="s">
        <v>281</v>
      </c>
    </row>
    <row customHeight="1" ht="11.25">
      <c r="A9" s="1082" t="s">
        <v>1585</v>
      </c>
      <c r="B9" s="1083">
        <v>2007</v>
      </c>
      <c r="E9" s="1084" t="s">
        <v>1586</v>
      </c>
      <c r="F9" s="1101"/>
      <c r="G9" s="1075" t="s">
        <v>1587</v>
      </c>
      <c r="H9" s="1075" t="s">
        <v>1588</v>
      </c>
      <c r="I9" s="1084" t="s">
        <v>120</v>
      </c>
      <c r="O9" s="1084" t="s">
        <v>1589</v>
      </c>
      <c r="V9" s="378" t="s">
        <v>120</v>
      </c>
      <c r="W9" s="1092"/>
      <c r="X9" s="1083" t="s">
        <v>209</v>
      </c>
      <c r="Y9" s="1083" t="s">
        <v>1430</v>
      </c>
      <c r="Z9" s="1099">
        <v>1</v>
      </c>
      <c r="AA9" s="1102"/>
      <c r="AK9" s="1084" t="s">
        <v>1590</v>
      </c>
      <c r="AP9" s="1095" t="s">
        <v>1591</v>
      </c>
      <c r="AQ9" s="1096" t="s">
        <v>1591</v>
      </c>
      <c r="AW9" s="1128" t="s">
        <v>1592</v>
      </c>
      <c r="AX9" s="1128" t="s">
        <v>1592</v>
      </c>
      <c r="AZ9" s="1128" t="s">
        <v>1593</v>
      </c>
      <c r="BB9" s="1128" t="s">
        <v>1594</v>
      </c>
      <c r="BC9" s="1128" t="s">
        <v>1529</v>
      </c>
      <c r="BE9" s="1128">
        <v>2005</v>
      </c>
      <c r="BF9" s="1128" t="s">
        <v>1105</v>
      </c>
      <c r="BH9" s="1076" t="s">
        <v>1085</v>
      </c>
      <c r="BJ9" s="1076" t="s">
        <v>1595</v>
      </c>
      <c r="BL9" s="1076" t="s">
        <v>1595</v>
      </c>
      <c r="BN9" s="1076" t="s">
        <v>1596</v>
      </c>
      <c r="BQ9" s="1289">
        <v>4213777</v>
      </c>
      <c r="BR9" s="1076" t="s">
        <v>191</v>
      </c>
      <c r="BS9" s="1437"/>
      <c r="BT9" s="1289">
        <v>64236875</v>
      </c>
      <c r="BU9" s="1076" t="s">
        <v>261</v>
      </c>
      <c r="BV9" s="1078"/>
      <c r="BW9" s="1697"/>
      <c r="BX9" s="1697"/>
    </row>
    <row customHeight="1" ht="11.25">
      <c r="A10" s="1082" t="s">
        <v>1597</v>
      </c>
      <c r="B10" s="1083">
        <v>2008</v>
      </c>
      <c r="E10" s="1084" t="s">
        <v>1598</v>
      </c>
      <c r="F10" s="1101"/>
      <c r="G10" s="1084" t="s">
        <v>1599</v>
      </c>
      <c r="H10" s="1084" t="s">
        <v>1600</v>
      </c>
      <c r="I10" s="1084" t="s">
        <v>167</v>
      </c>
      <c r="J10" s="1075" t="s">
        <v>1601</v>
      </c>
      <c r="K10" s="1075" t="s">
        <v>1602</v>
      </c>
      <c r="O10" s="1084" t="s">
        <v>1603</v>
      </c>
      <c r="V10" s="379" t="s">
        <v>167</v>
      </c>
      <c r="W10" s="1105"/>
      <c r="X10" s="1105" t="s">
        <v>1604</v>
      </c>
      <c r="Y10" s="1106" t="s">
        <v>1605</v>
      </c>
      <c r="Z10" s="1099"/>
      <c r="AP10" s="1095" t="s">
        <v>1604</v>
      </c>
      <c r="AQ10" s="1096" t="s">
        <v>1604</v>
      </c>
      <c r="AW10" s="1128" t="s">
        <v>1606</v>
      </c>
      <c r="AX10" s="1128" t="s">
        <v>1606</v>
      </c>
      <c r="AZ10" s="1128" t="s">
        <v>1316</v>
      </c>
      <c r="BB10" s="1128" t="s">
        <v>1607</v>
      </c>
      <c r="BC10" s="1128" t="s">
        <v>1529</v>
      </c>
      <c r="BE10" s="1128">
        <v>2006</v>
      </c>
      <c r="BF10" s="1128" t="s">
        <v>1608</v>
      </c>
      <c r="BH10" s="1076" t="s">
        <v>1114</v>
      </c>
      <c r="BJ10" s="1076" t="s">
        <v>1609</v>
      </c>
      <c r="BL10" s="1076" t="s">
        <v>1609</v>
      </c>
      <c r="BN10" s="1076" t="s">
        <v>1610</v>
      </c>
      <c r="BQ10" s="1289">
        <v>4213778</v>
      </c>
      <c r="BR10" s="1076" t="s">
        <v>197</v>
      </c>
      <c r="BS10" s="1437"/>
      <c r="BT10" s="1289">
        <v>64236876</v>
      </c>
      <c r="BU10" s="1076" t="s">
        <v>241</v>
      </c>
      <c r="BV10" s="1078"/>
      <c r="BW10" s="1697"/>
      <c r="BX10" s="1697"/>
    </row>
    <row customHeight="1" ht="11.25">
      <c r="A11" s="1082" t="s">
        <v>1611</v>
      </c>
      <c r="B11" s="1083">
        <v>2009</v>
      </c>
      <c r="E11" s="1084" t="s">
        <v>1612</v>
      </c>
      <c r="F11" s="1101"/>
      <c r="G11" s="1084" t="s">
        <v>1613</v>
      </c>
      <c r="H11" s="1084" t="s">
        <v>1614</v>
      </c>
      <c r="I11" s="1084" t="s">
        <v>168</v>
      </c>
      <c r="J11" s="1085" t="s">
        <v>1615</v>
      </c>
      <c r="K11" s="1107" t="s">
        <v>1616</v>
      </c>
      <c r="O11" s="1085" t="s">
        <v>1617</v>
      </c>
      <c r="V11" s="378" t="s">
        <v>168</v>
      </c>
      <c r="W11" s="283"/>
      <c r="X11" s="1092" t="s">
        <v>1591</v>
      </c>
      <c r="Y11" s="1083" t="s">
        <v>1618</v>
      </c>
      <c r="Z11" s="1099"/>
      <c r="AP11" s="1095" t="s">
        <v>209</v>
      </c>
      <c r="AQ11" s="1097" t="s">
        <v>209</v>
      </c>
      <c r="AW11" s="1128" t="s">
        <v>1619</v>
      </c>
      <c r="AX11" s="1128" t="s">
        <v>1619</v>
      </c>
      <c r="AZ11" s="1128" t="s">
        <v>1620</v>
      </c>
      <c r="BB11" s="1128" t="s">
        <v>1621</v>
      </c>
      <c r="BC11" s="1128" t="s">
        <v>1529</v>
      </c>
      <c r="BE11" s="1128">
        <v>2007</v>
      </c>
      <c r="BF11" s="1128" t="s">
        <v>1168</v>
      </c>
      <c r="BH11" s="1076" t="s">
        <v>1622</v>
      </c>
      <c r="BJ11" s="1076" t="s">
        <v>1085</v>
      </c>
      <c r="BL11" s="1076" t="s">
        <v>1085</v>
      </c>
      <c r="BN11" s="1076" t="s">
        <v>1623</v>
      </c>
      <c r="BQ11" s="1289">
        <v>4213780</v>
      </c>
      <c r="BR11" s="1076" t="s">
        <v>203</v>
      </c>
      <c r="BS11" s="1437"/>
      <c r="BW11" s="1697"/>
      <c r="BX11" s="1697"/>
    </row>
    <row customHeight="1" ht="11.25">
      <c r="A12" s="1082" t="s">
        <v>1624</v>
      </c>
      <c r="B12" s="1083">
        <v>2010</v>
      </c>
      <c r="E12" s="1084" t="s">
        <v>1625</v>
      </c>
      <c r="F12" s="1101"/>
      <c r="G12" s="1084" t="s">
        <v>1614</v>
      </c>
      <c r="I12" s="1084" t="s">
        <v>169</v>
      </c>
      <c r="J12" s="1085" t="s">
        <v>1626</v>
      </c>
      <c r="K12" s="1107" t="s">
        <v>1627</v>
      </c>
      <c r="O12" s="1085" t="s">
        <v>1424</v>
      </c>
      <c r="V12" s="378" t="s">
        <v>169</v>
      </c>
      <c r="W12" s="1097"/>
      <c r="X12" s="1092" t="s">
        <v>1628</v>
      </c>
      <c r="Y12" s="1083" t="s">
        <v>1430</v>
      </c>
      <c r="AP12" s="1095"/>
      <c r="AW12" s="1128" t="s">
        <v>168</v>
      </c>
      <c r="AX12" s="1128" t="s">
        <v>168</v>
      </c>
      <c r="AZ12" s="1128" t="s">
        <v>1629</v>
      </c>
      <c r="BB12" s="1128" t="s">
        <v>1630</v>
      </c>
      <c r="BC12" s="1128" t="s">
        <v>1529</v>
      </c>
      <c r="BE12" s="1128">
        <v>2008</v>
      </c>
      <c r="BF12" s="1128" t="s">
        <v>1127</v>
      </c>
      <c r="BH12" s="1076" t="s">
        <v>1631</v>
      </c>
      <c r="BJ12" s="1076" t="s">
        <v>1632</v>
      </c>
      <c r="BL12" s="1076" t="s">
        <v>1632</v>
      </c>
      <c r="BN12" s="1076" t="s">
        <v>1633</v>
      </c>
      <c r="BQ12" s="1289">
        <v>4213779</v>
      </c>
      <c r="BR12" s="1076" t="s">
        <v>1591</v>
      </c>
      <c r="BS12" s="1437"/>
      <c r="BT12" s="1078"/>
      <c r="BU12" s="1078"/>
      <c r="BV12" s="1078"/>
      <c r="BW12" s="1697"/>
      <c r="BX12" s="1697"/>
    </row>
    <row customHeight="1" ht="11.25">
      <c r="A13" s="1082" t="s">
        <v>1634</v>
      </c>
      <c r="B13" s="1083">
        <v>2011</v>
      </c>
      <c r="E13" s="1084" t="s">
        <v>1635</v>
      </c>
      <c r="F13" s="1101"/>
      <c r="I13" s="1084" t="s">
        <v>170</v>
      </c>
      <c r="K13" s="1107" t="s">
        <v>1590</v>
      </c>
      <c r="V13" s="378" t="s">
        <v>170</v>
      </c>
      <c r="W13" s="1097"/>
      <c r="X13" s="1097"/>
      <c r="Y13" s="1097"/>
      <c r="AW13" s="1128" t="s">
        <v>169</v>
      </c>
      <c r="AX13" s="1128" t="s">
        <v>169</v>
      </c>
      <c r="BB13" s="1128" t="s">
        <v>1636</v>
      </c>
      <c r="BC13" s="1128" t="s">
        <v>1637</v>
      </c>
      <c r="BE13" s="1128">
        <v>2009</v>
      </c>
      <c r="BF13" s="1128" t="s">
        <v>1076</v>
      </c>
      <c r="BH13" s="1076" t="s">
        <v>1638</v>
      </c>
      <c r="BJ13" s="1076" t="s">
        <v>1622</v>
      </c>
      <c r="BL13" s="1076" t="s">
        <v>1622</v>
      </c>
      <c r="BN13" s="1076" t="s">
        <v>1639</v>
      </c>
      <c r="BQ13" s="1289">
        <v>4213783</v>
      </c>
      <c r="BR13" s="1076" t="s">
        <v>1604</v>
      </c>
      <c r="BS13" s="1437"/>
      <c r="BT13" s="1078"/>
      <c r="BU13" s="1078"/>
      <c r="BV13" s="1078"/>
      <c r="BW13" s="1701"/>
      <c r="BX13" s="1697"/>
    </row>
    <row customHeight="1" ht="11.25">
      <c r="A14" s="1082" t="s">
        <v>1640</v>
      </c>
      <c r="B14" s="1083">
        <v>2012</v>
      </c>
      <c r="I14" s="1084" t="s">
        <v>171</v>
      </c>
      <c r="J14" s="1075" t="s">
        <v>1641</v>
      </c>
      <c r="N14" s="1075" t="s">
        <v>1642</v>
      </c>
      <c r="V14" s="1091">
        <v>13</v>
      </c>
      <c r="W14" s="1092"/>
      <c r="X14" s="1092" t="s">
        <v>1462</v>
      </c>
      <c r="Y14" s="1083" t="s">
        <v>1430</v>
      </c>
      <c r="AW14" s="1128" t="s">
        <v>170</v>
      </c>
      <c r="AX14" s="1128" t="s">
        <v>170</v>
      </c>
      <c r="AZ14" s="1075" t="s">
        <v>1643</v>
      </c>
      <c r="BB14" s="1128" t="s">
        <v>1644</v>
      </c>
      <c r="BC14" s="1128" t="s">
        <v>1637</v>
      </c>
      <c r="BE14" s="1128">
        <v>2010</v>
      </c>
      <c r="BF14" s="1128" t="s">
        <v>1092</v>
      </c>
      <c r="BH14" s="1076" t="s">
        <v>1568</v>
      </c>
      <c r="BJ14" s="1225" t="s">
        <v>1645</v>
      </c>
      <c r="BL14" s="1225" t="s">
        <v>1645</v>
      </c>
      <c r="BN14" s="1076" t="s">
        <v>1646</v>
      </c>
      <c r="BQ14" s="1289">
        <v>4213782</v>
      </c>
      <c r="BR14" s="1076" t="s">
        <v>209</v>
      </c>
      <c r="BS14" s="1437"/>
      <c r="BT14" s="1078"/>
      <c r="BU14" s="1078"/>
      <c r="BV14" s="1078"/>
      <c r="BW14" s="1701"/>
      <c r="BX14" s="1697"/>
    </row>
    <row customHeight="1" ht="19.5">
      <c r="A15" s="1082" t="s">
        <v>1647</v>
      </c>
      <c r="B15" s="1083">
        <v>2013</v>
      </c>
      <c r="E15" s="1705" t="s">
        <v>1648</v>
      </c>
      <c r="G15" s="1075" t="s">
        <v>1649</v>
      </c>
      <c r="H15" s="1075" t="s">
        <v>1650</v>
      </c>
      <c r="I15" s="1086" t="s">
        <v>172</v>
      </c>
      <c r="J15" s="1097" t="s">
        <v>601</v>
      </c>
      <c r="N15" s="1166" t="s">
        <v>1651</v>
      </c>
      <c r="X15" s="1095"/>
      <c r="AW15" s="1128" t="s">
        <v>171</v>
      </c>
      <c r="AX15" s="1128" t="s">
        <v>171</v>
      </c>
      <c r="AZ15" s="1128" t="s">
        <v>1579</v>
      </c>
      <c r="BB15" s="1128" t="s">
        <v>1652</v>
      </c>
      <c r="BC15" s="1128" t="s">
        <v>1637</v>
      </c>
      <c r="BE15" s="1128">
        <v>2011</v>
      </c>
      <c r="BF15" s="1128" t="s">
        <v>1100</v>
      </c>
      <c r="BH15" s="1076" t="s">
        <v>1097</v>
      </c>
      <c r="BJ15" s="1225" t="s">
        <v>1653</v>
      </c>
      <c r="BL15" s="1225" t="s">
        <v>1653</v>
      </c>
      <c r="BN15" s="1076" t="s">
        <v>1654</v>
      </c>
      <c r="BR15" s="1078"/>
      <c r="BS15" s="1439"/>
      <c r="BT15" s="1078"/>
      <c r="BU15" s="1078"/>
      <c r="BV15" s="1078"/>
      <c r="BW15" s="1701"/>
      <c r="BX15" s="1697"/>
    </row>
    <row customHeight="1" ht="21">
      <c r="A16" s="1875" t="s">
        <v>1655</v>
      </c>
      <c r="B16" s="1083">
        <v>2014</v>
      </c>
      <c r="E16" s="1706" t="s">
        <v>1656</v>
      </c>
      <c r="G16" s="1084" t="s">
        <v>1657</v>
      </c>
      <c r="H16" s="1084" t="s">
        <v>1658</v>
      </c>
      <c r="I16" s="1086" t="s">
        <v>1120</v>
      </c>
      <c r="J16" s="1097" t="s">
        <v>573</v>
      </c>
      <c r="N16" s="1166" t="s">
        <v>1659</v>
      </c>
      <c r="AW16" s="1128" t="s">
        <v>172</v>
      </c>
      <c r="AX16" s="1128" t="s">
        <v>172</v>
      </c>
      <c r="AZ16" s="1128" t="s">
        <v>1593</v>
      </c>
      <c r="BB16" s="1128" t="s">
        <v>1660</v>
      </c>
      <c r="BC16" s="1128" t="s">
        <v>1637</v>
      </c>
      <c r="BE16" s="1128">
        <v>2012</v>
      </c>
      <c r="BH16" s="1076" t="s">
        <v>1596</v>
      </c>
      <c r="BJ16" s="1225" t="s">
        <v>1661</v>
      </c>
      <c r="BL16" s="1225" t="s">
        <v>1661</v>
      </c>
      <c r="BN16" s="1076" t="s">
        <v>1662</v>
      </c>
      <c r="BR16" s="1078"/>
      <c r="BS16" s="1439"/>
      <c r="BT16" s="1078"/>
      <c r="BU16" s="1078"/>
      <c r="BV16" s="1078"/>
      <c r="BW16" s="1701"/>
      <c r="BX16" s="1697"/>
    </row>
    <row customHeight="1" ht="21">
      <c r="A17" s="1082" t="s">
        <v>1663</v>
      </c>
      <c r="B17" s="1083">
        <v>2015</v>
      </c>
      <c r="G17" s="1084" t="s">
        <v>1614</v>
      </c>
      <c r="H17" s="1084" t="s">
        <v>1614</v>
      </c>
      <c r="I17" s="1084" t="s">
        <v>1124</v>
      </c>
      <c r="N17" s="1166" t="s">
        <v>1664</v>
      </c>
      <c r="X17" s="1095"/>
      <c r="AW17" s="1128" t="s">
        <v>1120</v>
      </c>
      <c r="AX17" s="1128" t="s">
        <v>1120</v>
      </c>
      <c r="AZ17" s="1128" t="s">
        <v>67</v>
      </c>
      <c r="BB17" s="1128" t="s">
        <v>1665</v>
      </c>
      <c r="BC17" s="1128" t="s">
        <v>1529</v>
      </c>
      <c r="BE17" s="1128">
        <v>2013</v>
      </c>
      <c r="BH17" s="1076" t="s">
        <v>1610</v>
      </c>
      <c r="BJ17" s="1225" t="s">
        <v>1666</v>
      </c>
      <c r="BL17" s="1225" t="s">
        <v>1666</v>
      </c>
      <c r="BN17" s="1076" t="s">
        <v>1667</v>
      </c>
      <c r="BR17" s="1075" t="s">
        <v>1471</v>
      </c>
      <c r="BS17" s="1436"/>
      <c r="BU17" s="1075" t="s">
        <v>1668</v>
      </c>
      <c r="BV17" s="1078"/>
      <c r="BW17" s="1697"/>
      <c r="BX17" s="1699" t="s">
        <v>1669</v>
      </c>
      <c r="CA17" s="1075" t="s">
        <v>1670</v>
      </c>
      <c r="CD17" s="1075" t="s">
        <v>1671</v>
      </c>
    </row>
    <row customHeight="1" ht="21">
      <c r="A18" s="1082" t="s">
        <v>1672</v>
      </c>
      <c r="B18" s="1083">
        <v>2016</v>
      </c>
      <c r="E18" s="2010" t="s">
        <v>1673</v>
      </c>
      <c r="I18" s="1084" t="s">
        <v>1128</v>
      </c>
      <c r="N18" s="1166" t="s">
        <v>1674</v>
      </c>
      <c r="X18" s="1095"/>
      <c r="AW18" s="1128" t="s">
        <v>1124</v>
      </c>
      <c r="AX18" s="1128" t="s">
        <v>1124</v>
      </c>
      <c r="BB18" s="1128" t="s">
        <v>1675</v>
      </c>
      <c r="BC18" s="1128" t="s">
        <v>1529</v>
      </c>
      <c r="BE18" s="1128">
        <v>2014</v>
      </c>
      <c r="BH18" s="1076" t="s">
        <v>1623</v>
      </c>
      <c r="BJ18" s="1225" t="s">
        <v>1676</v>
      </c>
      <c r="BL18" s="1225" t="s">
        <v>1676</v>
      </c>
      <c r="BN18" s="1076" t="s">
        <v>1677</v>
      </c>
      <c r="BQ18" s="1440" t="s">
        <v>1501</v>
      </c>
      <c r="BR18" s="1167" t="s">
        <v>1502</v>
      </c>
      <c r="BS18" s="282"/>
      <c r="BT18" s="1440" t="s">
        <v>1678</v>
      </c>
      <c r="BU18" s="1167" t="s">
        <v>1679</v>
      </c>
      <c r="BV18" s="1078"/>
      <c r="BW18" s="1704" t="s">
        <v>1680</v>
      </c>
      <c r="BX18" s="1698" t="s">
        <v>1681</v>
      </c>
      <c r="BZ18" s="1440" t="s">
        <v>1682</v>
      </c>
      <c r="CA18" s="1167" t="s">
        <v>1683</v>
      </c>
      <c r="CC18" s="1440" t="s">
        <v>1684</v>
      </c>
      <c r="CD18" s="1167" t="s">
        <v>1685</v>
      </c>
    </row>
    <row customHeight="1" ht="21">
      <c r="A19" s="1875" t="s">
        <v>1686</v>
      </c>
      <c r="B19" s="1083">
        <v>2017</v>
      </c>
      <c r="E19" s="1082" t="s">
        <v>184</v>
      </c>
      <c r="I19" s="1084" t="s">
        <v>1130</v>
      </c>
      <c r="N19" s="1166" t="s">
        <v>1687</v>
      </c>
      <c r="X19" s="1095"/>
      <c r="AW19" s="1128" t="s">
        <v>1128</v>
      </c>
      <c r="AX19" s="1128" t="s">
        <v>1128</v>
      </c>
      <c r="AZ19" s="1075" t="s">
        <v>1688</v>
      </c>
      <c r="BB19" s="1128" t="s">
        <v>1689</v>
      </c>
      <c r="BC19" s="1128" t="s">
        <v>1529</v>
      </c>
      <c r="BE19" s="1128">
        <v>2015</v>
      </c>
      <c r="BH19" s="1076" t="s">
        <v>1690</v>
      </c>
      <c r="BJ19" s="1225" t="s">
        <v>1691</v>
      </c>
      <c r="BL19" s="1225" t="s">
        <v>1691</v>
      </c>
      <c r="BQ19" s="1289">
        <v>4190064</v>
      </c>
      <c r="BR19" s="1076" t="s">
        <v>1692</v>
      </c>
      <c r="BS19" s="1437"/>
      <c r="BT19" s="1289">
        <v>4189671</v>
      </c>
      <c r="BU19" s="1076" t="s">
        <v>1693</v>
      </c>
      <c r="BV19" s="1078"/>
      <c r="BW19" s="1702">
        <v>4189706</v>
      </c>
      <c r="BX19" s="1700" t="s">
        <v>1694</v>
      </c>
      <c r="BZ19" s="1289">
        <v>4189714</v>
      </c>
      <c r="CA19" s="1076" t="s">
        <v>1695</v>
      </c>
      <c r="CC19" s="1289">
        <v>4189708</v>
      </c>
      <c r="CD19" s="1076" t="s">
        <v>1696</v>
      </c>
    </row>
    <row customHeight="1" ht="21">
      <c r="A20" s="1082" t="s">
        <v>1697</v>
      </c>
      <c r="B20" s="1083">
        <v>2018</v>
      </c>
      <c r="E20" s="1082" t="s">
        <v>1462</v>
      </c>
      <c r="I20" s="1084" t="s">
        <v>1133</v>
      </c>
      <c r="N20" s="1166" t="s">
        <v>1698</v>
      </c>
      <c r="AW20" s="1128" t="s">
        <v>1130</v>
      </c>
      <c r="AX20" s="1128" t="s">
        <v>1130</v>
      </c>
      <c r="AZ20" s="1128" t="s">
        <v>1699</v>
      </c>
      <c r="BB20" s="1128" t="s">
        <v>1700</v>
      </c>
      <c r="BC20" s="1128" t="s">
        <v>1637</v>
      </c>
      <c r="BE20" s="1128">
        <v>2016</v>
      </c>
      <c r="BH20" s="1076" t="s">
        <v>1633</v>
      </c>
      <c r="BJ20" s="1076" t="s">
        <v>1568</v>
      </c>
      <c r="BL20" s="1076" t="s">
        <v>1568</v>
      </c>
      <c r="BQ20" s="1289">
        <v>4190065</v>
      </c>
      <c r="BR20" s="1076" t="s">
        <v>1701</v>
      </c>
      <c r="BS20" s="1437"/>
      <c r="BT20" s="1289">
        <v>4189672</v>
      </c>
      <c r="BU20" s="1076" t="s">
        <v>1702</v>
      </c>
      <c r="BV20" s="1078"/>
      <c r="BW20" s="1702">
        <v>4189705</v>
      </c>
      <c r="BX20" s="1700" t="s">
        <v>1703</v>
      </c>
      <c r="BZ20" s="1289">
        <v>4189713</v>
      </c>
      <c r="CA20" s="1076" t="s">
        <v>1703</v>
      </c>
      <c r="CC20" s="1289">
        <v>4189709</v>
      </c>
      <c r="CD20" s="1076" t="s">
        <v>1704</v>
      </c>
    </row>
    <row customHeight="1" ht="21">
      <c r="A21" s="1082" t="s">
        <v>1705</v>
      </c>
      <c r="B21" s="1083">
        <v>2019</v>
      </c>
      <c r="I21" s="1084" t="s">
        <v>1135</v>
      </c>
      <c r="N21" s="1166" t="s">
        <v>1706</v>
      </c>
      <c r="AW21" s="1128" t="s">
        <v>1133</v>
      </c>
      <c r="AX21" s="1128" t="s">
        <v>1133</v>
      </c>
      <c r="AZ21" s="1128" t="s">
        <v>1707</v>
      </c>
      <c r="BB21" s="1128" t="s">
        <v>1708</v>
      </c>
      <c r="BC21" s="1128" t="s">
        <v>1529</v>
      </c>
      <c r="BE21" s="1128">
        <v>2017</v>
      </c>
      <c r="BH21" s="1076" t="s">
        <v>1639</v>
      </c>
      <c r="BJ21" s="1076" t="s">
        <v>1097</v>
      </c>
      <c r="BL21" s="1076" t="s">
        <v>1097</v>
      </c>
      <c r="BQ21" s="1289">
        <v>4190066</v>
      </c>
      <c r="BR21" s="1076" t="s">
        <v>1709</v>
      </c>
      <c r="BS21" s="1437"/>
      <c r="BT21" s="1289">
        <v>4189673</v>
      </c>
      <c r="BU21" s="1076" t="s">
        <v>1710</v>
      </c>
      <c r="BV21" s="1078"/>
      <c r="BW21" s="1702">
        <v>4189707</v>
      </c>
      <c r="BX21" s="1700" t="s">
        <v>1711</v>
      </c>
      <c r="BZ21" s="1289">
        <v>4189712</v>
      </c>
      <c r="CA21" s="1076" t="s">
        <v>1712</v>
      </c>
      <c r="CC21" s="1289">
        <v>4189710</v>
      </c>
      <c r="CD21" s="1076" t="s">
        <v>1713</v>
      </c>
    </row>
    <row customHeight="1" ht="21">
      <c r="A22" s="1082" t="s">
        <v>1714</v>
      </c>
      <c r="B22" s="1083">
        <v>2020</v>
      </c>
      <c r="N22" s="1166" t="s">
        <v>1715</v>
      </c>
      <c r="AW22" s="1128" t="s">
        <v>1135</v>
      </c>
      <c r="AX22" s="1128" t="s">
        <v>1135</v>
      </c>
      <c r="AZ22" s="1128" t="s">
        <v>1716</v>
      </c>
      <c r="BB22" s="1128" t="s">
        <v>1717</v>
      </c>
      <c r="BC22" s="1128" t="s">
        <v>1529</v>
      </c>
      <c r="BE22" s="1128">
        <v>2018</v>
      </c>
      <c r="BH22" s="1076" t="s">
        <v>1646</v>
      </c>
      <c r="BJ22" s="1076" t="s">
        <v>1596</v>
      </c>
      <c r="BL22" s="1076" t="s">
        <v>1596</v>
      </c>
      <c r="BQ22" s="1289">
        <v>4190067</v>
      </c>
      <c r="BR22" s="1076" t="s">
        <v>1718</v>
      </c>
      <c r="BS22" s="1437"/>
      <c r="BT22" s="1289">
        <v>4189674</v>
      </c>
      <c r="BU22" s="1076" t="s">
        <v>1719</v>
      </c>
      <c r="BV22" s="1078"/>
      <c r="BW22" s="1078"/>
      <c r="CC22" s="1289">
        <v>4189711</v>
      </c>
      <c r="CD22" s="1076" t="s">
        <v>310</v>
      </c>
    </row>
    <row customHeight="1" ht="21">
      <c r="A23" s="1082" t="s">
        <v>1720</v>
      </c>
      <c r="B23" s="1083">
        <v>2021</v>
      </c>
      <c r="AW23" s="1128" t="s">
        <v>1137</v>
      </c>
      <c r="AX23" s="1128" t="s">
        <v>1137</v>
      </c>
      <c r="AZ23" s="1128" t="s">
        <v>1721</v>
      </c>
      <c r="BB23" s="1128" t="s">
        <v>1722</v>
      </c>
      <c r="BC23" s="1128" t="s">
        <v>1441</v>
      </c>
      <c r="BE23" s="1128">
        <v>2019</v>
      </c>
      <c r="BH23" s="1076" t="s">
        <v>1654</v>
      </c>
      <c r="BJ23" s="1076" t="s">
        <v>1610</v>
      </c>
      <c r="BL23" s="1076" t="s">
        <v>1610</v>
      </c>
      <c r="BQ23" s="1289">
        <v>4190068</v>
      </c>
      <c r="BR23" s="1076" t="s">
        <v>1723</v>
      </c>
      <c r="BS23" s="1437"/>
      <c r="BT23" s="1289">
        <v>4189675</v>
      </c>
      <c r="BU23" s="1076" t="s">
        <v>1724</v>
      </c>
      <c r="BV23" s="1078"/>
      <c r="BW23" s="1078"/>
      <c r="CC23" s="1289">
        <v>5110778</v>
      </c>
      <c r="CD23" s="1076" t="s">
        <v>1725</v>
      </c>
    </row>
    <row customHeight="1" ht="21">
      <c r="A24" s="1082" t="s">
        <v>1726</v>
      </c>
      <c r="B24" s="1083">
        <v>2022</v>
      </c>
      <c r="AW24" s="1128" t="s">
        <v>1139</v>
      </c>
      <c r="AX24" s="1128" t="s">
        <v>1139</v>
      </c>
      <c r="AZ24" s="1128" t="s">
        <v>1727</v>
      </c>
      <c r="BB24" s="1128" t="s">
        <v>1728</v>
      </c>
      <c r="BC24" s="1128" t="s">
        <v>1729</v>
      </c>
      <c r="BE24" s="1128">
        <v>2020</v>
      </c>
      <c r="BH24" s="1076" t="s">
        <v>1662</v>
      </c>
      <c r="BJ24" s="1076" t="s">
        <v>1623</v>
      </c>
      <c r="BL24" s="1076" t="s">
        <v>1623</v>
      </c>
      <c r="BQ24" s="1289">
        <v>4190069</v>
      </c>
      <c r="BR24" s="1076" t="s">
        <v>1730</v>
      </c>
      <c r="BS24" s="1437"/>
      <c r="BT24" s="1289">
        <v>4189676</v>
      </c>
      <c r="BU24" s="1076" t="s">
        <v>1731</v>
      </c>
      <c r="BV24" s="1078"/>
      <c r="BW24" s="1078"/>
      <c r="CC24" s="1289">
        <v>25575374</v>
      </c>
      <c r="CD24" s="1076" t="s">
        <v>1732</v>
      </c>
    </row>
    <row customHeight="1" ht="11.25">
      <c r="A25" s="1082" t="s">
        <v>1733</v>
      </c>
      <c r="B25" s="1083">
        <v>2023</v>
      </c>
      <c r="AW25" s="1128" t="s">
        <v>1141</v>
      </c>
      <c r="AX25" s="1128" t="s">
        <v>1141</v>
      </c>
      <c r="AZ25" s="1128" t="s">
        <v>1734</v>
      </c>
      <c r="BB25" s="1128" t="s">
        <v>1735</v>
      </c>
      <c r="BC25" s="1128" t="s">
        <v>1729</v>
      </c>
      <c r="BE25" s="1128">
        <v>2021</v>
      </c>
      <c r="BH25" s="1076" t="s">
        <v>1667</v>
      </c>
      <c r="BJ25" s="1076" t="s">
        <v>1690</v>
      </c>
      <c r="BL25" s="1076" t="s">
        <v>1690</v>
      </c>
      <c r="BQ25" s="1289">
        <v>4190070</v>
      </c>
      <c r="BR25" s="1076" t="s">
        <v>1736</v>
      </c>
      <c r="BS25" s="1437"/>
      <c r="BT25" s="1289">
        <v>4189677</v>
      </c>
      <c r="BU25" s="1076" t="s">
        <v>1737</v>
      </c>
      <c r="BV25" s="1078"/>
      <c r="BW25" s="1078"/>
    </row>
    <row customHeight="1" ht="11.25">
      <c r="A26" s="1082" t="s">
        <v>1738</v>
      </c>
      <c r="B26" s="1083">
        <v>2024</v>
      </c>
      <c r="J26" s="1738" t="s">
        <v>1739</v>
      </c>
      <c r="AX26" s="1128" t="s">
        <v>1143</v>
      </c>
      <c r="AZ26" s="1128" t="s">
        <v>1617</v>
      </c>
      <c r="BB26" s="1128" t="s">
        <v>1740</v>
      </c>
      <c r="BC26" s="1128" t="s">
        <v>1729</v>
      </c>
      <c r="BE26" s="1128">
        <v>2022</v>
      </c>
      <c r="BH26" s="1076" t="s">
        <v>1677</v>
      </c>
      <c r="BJ26" s="1076" t="s">
        <v>1633</v>
      </c>
      <c r="BL26" s="1076" t="s">
        <v>1633</v>
      </c>
      <c r="BQ26" s="1289">
        <v>4190071</v>
      </c>
      <c r="BR26" s="1076" t="s">
        <v>1741</v>
      </c>
      <c r="BS26" s="1437"/>
      <c r="BV26" s="1078"/>
      <c r="BW26" s="1078"/>
    </row>
    <row customHeight="1" ht="11.25">
      <c r="A27" s="1082" t="s">
        <v>1742</v>
      </c>
      <c r="B27" s="1083">
        <v>2025</v>
      </c>
      <c r="J27" s="184" t="s">
        <v>103</v>
      </c>
      <c r="AX27" s="1128" t="s">
        <v>1145</v>
      </c>
      <c r="BB27" s="1128" t="s">
        <v>1743</v>
      </c>
      <c r="BC27" s="1128" t="s">
        <v>1729</v>
      </c>
      <c r="BE27" s="1128">
        <v>2023</v>
      </c>
      <c r="BH27" s="1078" t="s">
        <v>22</v>
      </c>
      <c r="BJ27" s="1076" t="s">
        <v>1639</v>
      </c>
      <c r="BL27" s="1076" t="s">
        <v>1639</v>
      </c>
      <c r="BN27" s="1078" t="s">
        <v>22</v>
      </c>
      <c r="BQ27" s="1289">
        <v>4190072</v>
      </c>
      <c r="BR27" s="1076" t="s">
        <v>1744</v>
      </c>
      <c r="BS27" s="1437"/>
      <c r="BV27" s="1078"/>
      <c r="BW27" s="1078"/>
    </row>
    <row customHeight="1" ht="11.25">
      <c r="A28" s="1082" t="s">
        <v>1745</v>
      </c>
      <c r="D28" s="1109"/>
      <c r="E28" s="1110"/>
      <c r="F28" s="1110"/>
      <c r="H28" s="1111" t="s">
        <v>1746</v>
      </c>
      <c r="AX28" s="1128" t="s">
        <v>1148</v>
      </c>
      <c r="AZ28" s="1075" t="s">
        <v>1747</v>
      </c>
      <c r="BB28" s="1128" t="s">
        <v>1748</v>
      </c>
      <c r="BC28" s="1128" t="s">
        <v>1749</v>
      </c>
      <c r="BE28" s="1128">
        <v>2024</v>
      </c>
      <c r="BH28" s="1078" t="s">
        <v>22</v>
      </c>
      <c r="BJ28" s="1076" t="s">
        <v>1646</v>
      </c>
      <c r="BL28" s="1076" t="s">
        <v>1646</v>
      </c>
      <c r="BN28" s="1078" t="s">
        <v>22</v>
      </c>
      <c r="BQ28" s="1289">
        <v>4190073</v>
      </c>
      <c r="BR28" s="1076" t="s">
        <v>1750</v>
      </c>
      <c r="BS28" s="1437"/>
      <c r="BV28" s="1078"/>
      <c r="BW28" s="1078"/>
    </row>
    <row customHeight="1" ht="11.25">
      <c r="A29" s="1082" t="s">
        <v>1751</v>
      </c>
      <c r="D29" s="1112" t="s">
        <v>1752</v>
      </c>
      <c r="E29" s="1113" t="str">
        <f>IF(TEMPLATE_GROUP="","",INDEX(StartDateList,MATCH(TEMPLATE_GROUP,CodeTemplateList,0),1))</f>
        <v>01.01.2024</v>
      </c>
      <c r="F29" s="1113" t="str">
        <f>IF(TEMPLATE_GROUP="","",INDEX(EndDateList,MATCH(TEMPLATE_GROUP,CodeTemplateList,0),1))</f>
        <v>31.12.2024</v>
      </c>
      <c r="H29" s="1114" t="s">
        <v>1753</v>
      </c>
      <c r="AX29" s="1128" t="s">
        <v>1150</v>
      </c>
      <c r="AZ29" s="1128" t="s">
        <v>1425</v>
      </c>
      <c r="BB29" s="1128" t="s">
        <v>1617</v>
      </c>
      <c r="BC29" s="1099"/>
      <c r="BE29" s="1128">
        <v>2025</v>
      </c>
      <c r="BJ29" s="1076" t="s">
        <v>1654</v>
      </c>
      <c r="BL29" s="1076" t="s">
        <v>1654</v>
      </c>
    </row>
    <row customHeight="1" ht="11.25">
      <c r="A30" s="1082" t="s">
        <v>1754</v>
      </c>
      <c r="D30" s="1115"/>
      <c r="E30" s="1116"/>
      <c r="F30" s="1116"/>
      <c r="AX30" s="1128" t="s">
        <v>1152</v>
      </c>
      <c r="AZ30" s="1128" t="s">
        <v>1451</v>
      </c>
      <c r="BE30" s="1128">
        <v>2026</v>
      </c>
      <c r="BJ30" s="1076" t="s">
        <v>1755</v>
      </c>
      <c r="BL30" s="1076" t="s">
        <v>1755</v>
      </c>
    </row>
    <row customHeight="1" ht="12.75">
      <c r="A31" s="1082" t="s">
        <v>1756</v>
      </c>
      <c r="D31" s="1109"/>
      <c r="E31" s="1110"/>
      <c r="F31" s="1110"/>
      <c r="H31" s="1117"/>
      <c r="AX31" s="1128" t="s">
        <v>1154</v>
      </c>
      <c r="AZ31" s="1128" t="s">
        <v>1757</v>
      </c>
      <c r="BE31" s="1128">
        <v>2027</v>
      </c>
      <c r="BJ31" s="1076" t="s">
        <v>1758</v>
      </c>
      <c r="BL31" s="1076" t="s">
        <v>1758</v>
      </c>
    </row>
    <row customHeight="1" ht="11.25">
      <c r="A32" s="1082" t="s">
        <v>1759</v>
      </c>
      <c r="D32" s="1112" t="s">
        <v>1760</v>
      </c>
      <c r="E32" s="1113" t="str">
        <f>IF(TEMPLATE_GROUP="","",INDEX(StartDateList,MATCH(TEMPLATE_GROUP,CodeTemplateList,0),1))</f>
        <v>01.01.2024</v>
      </c>
      <c r="F32" s="1113" t="str">
        <f>IF(TEMPLATE_GROUP="","",INDEX(EndDateList,MATCH(TEMPLATE_GROUP,CodeTemplateList,0),1))</f>
        <v>31.12.2024</v>
      </c>
      <c r="H32" s="1118" t="s">
        <v>1761</v>
      </c>
      <c r="O32" s="1082" t="s">
        <v>1423</v>
      </c>
      <c r="AX32" s="1128" t="s">
        <v>1156</v>
      </c>
      <c r="AZ32" s="1128" t="s">
        <v>1517</v>
      </c>
      <c r="BE32" s="1128">
        <v>2028</v>
      </c>
      <c r="BJ32" s="1076" t="s">
        <v>1662</v>
      </c>
      <c r="BL32" s="1076" t="s">
        <v>1662</v>
      </c>
    </row>
    <row customHeight="1" ht="11.25">
      <c r="A33" s="1082" t="s">
        <v>1762</v>
      </c>
      <c r="O33" s="1082" t="s">
        <v>1448</v>
      </c>
      <c r="AX33" s="1128" t="s">
        <v>1158</v>
      </c>
      <c r="AZ33" s="1128" t="s">
        <v>1424</v>
      </c>
      <c r="BE33" s="1128">
        <v>2029</v>
      </c>
      <c r="BJ33" s="1076" t="s">
        <v>1667</v>
      </c>
      <c r="BL33" s="1076" t="s">
        <v>1667</v>
      </c>
    </row>
    <row customHeight="1" ht="11.25">
      <c r="A34" s="1082" t="s">
        <v>1763</v>
      </c>
      <c r="O34" s="1082" t="s">
        <v>1482</v>
      </c>
      <c r="AX34" s="1128" t="s">
        <v>1160</v>
      </c>
      <c r="BE34" s="1128">
        <v>2030</v>
      </c>
      <c r="BJ34" s="1076" t="s">
        <v>1677</v>
      </c>
      <c r="BL34" s="1076" t="s">
        <v>1677</v>
      </c>
    </row>
    <row customHeight="1" ht="11.25">
      <c r="A35" s="1082" t="s">
        <v>1764</v>
      </c>
      <c r="O35" s="1082" t="s">
        <v>1515</v>
      </c>
      <c r="AX35" s="1128" t="s">
        <v>1162</v>
      </c>
      <c r="AZ35" s="1075" t="s">
        <v>1765</v>
      </c>
      <c r="BE35" s="1128">
        <v>2031</v>
      </c>
      <c r="BL35" s="1076" t="s">
        <v>1766</v>
      </c>
    </row>
    <row customHeight="1" ht="11.25">
      <c r="A36" s="1875" t="s">
        <v>1767</v>
      </c>
      <c r="D36" s="1119" t="s">
        <v>1768</v>
      </c>
      <c r="E36" s="1120" t="s">
        <v>852</v>
      </c>
      <c r="F36" s="1121" t="str">
        <f>INDEX(E37:E41,MATCH(TEMPLATE_SPHERE,F37:F41,0))</f>
        <v>теплоснабжения</v>
      </c>
      <c r="G36" s="1121" t="str">
        <f>INDEX(G37:G41,MATCH(TEMPLATE_SPHERE,F37:F41,0))</f>
        <v>теплоснабжение</v>
      </c>
      <c r="O36" s="1082" t="s">
        <v>1540</v>
      </c>
      <c r="AX36" s="1128" t="s">
        <v>1164</v>
      </c>
      <c r="AZ36" s="1128" t="s">
        <v>1424</v>
      </c>
      <c r="BE36" s="1128">
        <v>2032</v>
      </c>
      <c r="BL36" s="1076" t="s">
        <v>1769</v>
      </c>
    </row>
    <row customHeight="1" ht="11.25">
      <c r="A37" s="1082" t="s">
        <v>1770</v>
      </c>
      <c r="E37" s="415" t="s">
        <v>1771</v>
      </c>
      <c r="F37" s="1122" t="s">
        <v>852</v>
      </c>
      <c r="G37" s="415" t="s">
        <v>1772</v>
      </c>
      <c r="O37" s="1082" t="s">
        <v>1559</v>
      </c>
      <c r="AX37" s="1128" t="s">
        <v>1166</v>
      </c>
      <c r="AZ37" s="1128" t="s">
        <v>1450</v>
      </c>
      <c r="BE37" s="1128">
        <v>2033</v>
      </c>
    </row>
    <row customHeight="1" ht="11.25">
      <c r="A38" s="1082" t="s">
        <v>1773</v>
      </c>
      <c r="E38" s="415" t="s">
        <v>1774</v>
      </c>
      <c r="F38" s="1123" t="s">
        <v>899</v>
      </c>
      <c r="G38" s="415" t="s">
        <v>1775</v>
      </c>
      <c r="O38" s="1082" t="s">
        <v>1575</v>
      </c>
      <c r="AX38" s="1128" t="s">
        <v>1169</v>
      </c>
      <c r="AZ38" s="1128" t="s">
        <v>1483</v>
      </c>
      <c r="BE38" s="1128">
        <v>2034</v>
      </c>
      <c r="BH38" s="1075" t="s">
        <v>1776</v>
      </c>
      <c r="BJ38" s="1075" t="s">
        <v>1777</v>
      </c>
      <c r="BL38" s="1075" t="s">
        <v>1778</v>
      </c>
      <c r="BN38" s="1075" t="s">
        <v>1779</v>
      </c>
    </row>
    <row customHeight="1" ht="11.25">
      <c r="A39" s="1082" t="s">
        <v>1780</v>
      </c>
      <c r="E39" s="415" t="s">
        <v>1781</v>
      </c>
      <c r="F39" s="1123" t="s">
        <v>952</v>
      </c>
      <c r="G39" s="415" t="s">
        <v>1782</v>
      </c>
      <c r="O39" s="1082" t="s">
        <v>1589</v>
      </c>
      <c r="AX39" s="1128" t="s">
        <v>1171</v>
      </c>
      <c r="AZ39" s="1128" t="s">
        <v>1516</v>
      </c>
      <c r="BE39" s="1128">
        <v>2035</v>
      </c>
      <c r="BH39" s="1076" t="s">
        <v>1783</v>
      </c>
      <c r="BJ39" s="1225" t="s">
        <v>1783</v>
      </c>
      <c r="BL39" s="1225" t="s">
        <v>1783</v>
      </c>
      <c r="BN39" s="1076" t="s">
        <v>1784</v>
      </c>
    </row>
    <row customHeight="1" ht="11.25">
      <c r="A40" s="1082" t="s">
        <v>1785</v>
      </c>
      <c r="E40" s="415" t="s">
        <v>1786</v>
      </c>
      <c r="F40" s="1123" t="s">
        <v>939</v>
      </c>
      <c r="G40" s="415" t="s">
        <v>1787</v>
      </c>
      <c r="O40" s="1082" t="s">
        <v>1603</v>
      </c>
      <c r="AX40" s="1128" t="s">
        <v>1173</v>
      </c>
      <c r="BE40" s="1128">
        <v>2036</v>
      </c>
      <c r="BH40" s="1076" t="s">
        <v>1788</v>
      </c>
      <c r="BJ40" s="1225" t="s">
        <v>1228</v>
      </c>
      <c r="BL40" s="1225" t="s">
        <v>1228</v>
      </c>
      <c r="BN40" s="1076" t="s">
        <v>1262</v>
      </c>
    </row>
    <row customHeight="1" ht="11.25">
      <c r="A41" s="1082" t="s">
        <v>1789</v>
      </c>
      <c r="E41" s="415" t="s">
        <v>1790</v>
      </c>
      <c r="F41" s="1123" t="s">
        <v>1791</v>
      </c>
      <c r="G41" s="415" t="s">
        <v>1790</v>
      </c>
      <c r="O41" s="1082" t="s">
        <v>1617</v>
      </c>
      <c r="AX41" s="1128" t="s">
        <v>1175</v>
      </c>
      <c r="AZ41" s="1075" t="s">
        <v>1792</v>
      </c>
      <c r="BE41" s="1128">
        <v>2037</v>
      </c>
      <c r="BH41" s="1076" t="s">
        <v>1793</v>
      </c>
      <c r="BJ41" s="1225" t="s">
        <v>1224</v>
      </c>
      <c r="BL41" s="1225" t="s">
        <v>1224</v>
      </c>
      <c r="BN41" s="1076" t="s">
        <v>1249</v>
      </c>
    </row>
    <row customHeight="1" ht="11.25">
      <c r="A42" s="1082" t="s">
        <v>1794</v>
      </c>
      <c r="AX42" s="1128" t="s">
        <v>1177</v>
      </c>
      <c r="AZ42" s="1128" t="s">
        <v>1423</v>
      </c>
      <c r="BE42" s="1128">
        <v>2038</v>
      </c>
      <c r="BH42" s="1076" t="s">
        <v>1246</v>
      </c>
      <c r="BJ42" s="1225" t="s">
        <v>1226</v>
      </c>
      <c r="BL42" s="1225" t="s">
        <v>1226</v>
      </c>
      <c r="BN42" s="1076" t="s">
        <v>1795</v>
      </c>
    </row>
    <row customHeight="1" ht="11.25">
      <c r="A43" s="1082" t="s">
        <v>1796</v>
      </c>
      <c r="AX43" s="1128" t="s">
        <v>1179</v>
      </c>
      <c r="AZ43" s="1128" t="s">
        <v>1448</v>
      </c>
      <c r="BE43" s="1128">
        <v>2039</v>
      </c>
      <c r="BH43" s="1076" t="s">
        <v>1797</v>
      </c>
      <c r="BJ43" s="1225" t="s">
        <v>1793</v>
      </c>
      <c r="BL43" s="1225" t="s">
        <v>1793</v>
      </c>
      <c r="BN43" s="1076" t="s">
        <v>1798</v>
      </c>
    </row>
    <row customHeight="1" ht="11.25">
      <c r="A44" s="1082" t="s">
        <v>1799</v>
      </c>
      <c r="G44" s="1102">
        <f>YEAR(TODAY())</f>
        <v>2025</v>
      </c>
      <c r="I44" s="807" t="s">
        <v>1800</v>
      </c>
      <c r="J44" s="1097" t="s">
        <v>1801</v>
      </c>
      <c r="K44" s="1097" t="s">
        <v>1802</v>
      </c>
      <c r="AX44" s="1128" t="s">
        <v>1181</v>
      </c>
      <c r="AZ44" s="1128" t="s">
        <v>1482</v>
      </c>
      <c r="BE44" s="1128">
        <v>2040</v>
      </c>
      <c r="BH44" s="1076" t="s">
        <v>1803</v>
      </c>
      <c r="BJ44" s="1225" t="s">
        <v>1246</v>
      </c>
      <c r="BL44" s="1225" t="s">
        <v>1246</v>
      </c>
      <c r="BN44" s="1076" t="s">
        <v>1804</v>
      </c>
    </row>
    <row customHeight="1" ht="11.25">
      <c r="A45" s="1082" t="s">
        <v>1805</v>
      </c>
      <c r="D45" s="1119" t="s">
        <v>1806</v>
      </c>
      <c r="E45" s="1120" t="s">
        <v>1807</v>
      </c>
      <c r="F45" s="805" t="s">
        <v>1808</v>
      </c>
      <c r="G45" s="804" t="s">
        <v>1809</v>
      </c>
      <c r="H45" s="807" t="s">
        <v>1810</v>
      </c>
      <c r="I45" s="1748">
        <f>INDEX(PeriodIsEmptyList,MATCH(TEMPLATE_GROUP,CodeTemplateList,0),1)</f>
        <v>0</v>
      </c>
      <c r="J45" s="17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8" t="s">
        <v>1183</v>
      </c>
      <c r="AZ45" s="1128" t="s">
        <v>1515</v>
      </c>
      <c r="BE45" s="1128">
        <v>2041</v>
      </c>
      <c r="BH45" s="1076" t="s">
        <v>1811</v>
      </c>
      <c r="BJ45" s="1225" t="s">
        <v>1240</v>
      </c>
      <c r="BL45" s="1225" t="s">
        <v>1240</v>
      </c>
      <c r="BN45" s="1076" t="s">
        <v>1812</v>
      </c>
    </row>
    <row customHeight="1" ht="11.25">
      <c r="A46" s="1082" t="s">
        <v>1813</v>
      </c>
      <c r="E46" s="415" t="s">
        <v>27</v>
      </c>
      <c r="F46" s="1122" t="s">
        <v>1814</v>
      </c>
      <c r="G46" s="1124" t="str">
        <f>_xlfn.IFERROR(IF(TITLE_DATE_FIL="","01.01."&amp;CURRENT_YEAR,"01.01."&amp;YEAR(TITLE_DATE_FIL)),"01.01."&amp;CURRENT_YEAR)</f>
        <v>01.01.2025</v>
      </c>
      <c r="H46" s="1124"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8" t="s">
        <v>1185</v>
      </c>
      <c r="AZ46" s="1128" t="s">
        <v>1540</v>
      </c>
      <c r="BE46" s="1128">
        <v>2042</v>
      </c>
      <c r="BH46" s="1076" t="s">
        <v>1249</v>
      </c>
      <c r="BJ46" s="1225" t="s">
        <v>1230</v>
      </c>
      <c r="BL46" s="1225" t="s">
        <v>1230</v>
      </c>
      <c r="BN46" s="1076" t="s">
        <v>1815</v>
      </c>
    </row>
    <row customHeight="1" ht="11.25">
      <c r="A47" s="1082" t="s">
        <v>1816</v>
      </c>
      <c r="E47" s="415" t="s">
        <v>33</v>
      </c>
      <c r="F47" s="1123" t="s">
        <v>1817</v>
      </c>
      <c r="G47" s="1124" t="str">
        <f>_xlfn.IFERROR(IF(f_year="","01.01."&amp;CURRENT_YEAR,IF(LEN(f_quart)=0,"01.01."&amp;f_year,IF(f_quart="I квартал","01.01."&amp;f_year,IF(f_quart="II квартал","01.04."&amp;f_year,(IF(f_quart="III квартал","01.07."&amp;f_year,"01.10."&amp;f_year)))))),"01.01."&amp;CURRENT_YEAR)</f>
        <v>01.01.2024</v>
      </c>
      <c r="H47" s="1124" t="str">
        <f>_xlfn.IFERROR(IF(f_year="","31.12."&amp;CURRENT_YEAR,IF(LEN(f_quart)=0,"31.12."&amp;f_year,IF(f_quart="I квартал","31.03."&amp;f_year,IF(f_quart="II квартал","30.06."&amp;f_year,(IF(f_quart="III квартал","30.09."&amp;f_year,"31.12."&amp;f_year)))))),"31.12."&amp;CURRENT_YEAR)</f>
        <v>31.12.2024</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8" t="s">
        <v>1187</v>
      </c>
      <c r="AZ47" s="1128" t="s">
        <v>1559</v>
      </c>
      <c r="BE47" s="1128">
        <v>2043</v>
      </c>
      <c r="BH47" s="1076" t="s">
        <v>1795</v>
      </c>
      <c r="BJ47" s="1225" t="s">
        <v>1232</v>
      </c>
      <c r="BL47" s="1225" t="s">
        <v>1232</v>
      </c>
      <c r="BN47" s="1076" t="s">
        <v>1818</v>
      </c>
    </row>
    <row customHeight="1" ht="11.25">
      <c r="A48" s="1082" t="s">
        <v>1819</v>
      </c>
      <c r="E48" s="415" t="s">
        <v>1820</v>
      </c>
      <c r="F48" s="1123" t="s">
        <v>1807</v>
      </c>
      <c r="G48" s="1124" t="str">
        <f>_xlfn.IFERROR(IF(f_year="","01.01."&amp;CURRENT_YEAR,"01.01."&amp;f_year),"01.01."&amp;CURRENT_YEAR)</f>
        <v>01.01.2024</v>
      </c>
      <c r="H48" s="1124" t="str">
        <f>_xlfn.IFERROR(IF(f_year="","31.12."&amp;CURRENT_YEAR,"31.12."&amp;f_year),"31.12."&amp;CURRENT_YEAR)</f>
        <v>31.12.2024</v>
      </c>
      <c r="I48" s="1749">
        <f>IF(f_year="",TRUE,FALSE)</f>
        <v>0</v>
      </c>
      <c r="J48" s="1752" t="s">
        <v>1821</v>
      </c>
      <c r="K48" s="1753"/>
      <c r="AX48" s="1128" t="s">
        <v>1189</v>
      </c>
      <c r="AZ48" s="1128" t="s">
        <v>1575</v>
      </c>
      <c r="BE48" s="1128">
        <v>2044</v>
      </c>
      <c r="BH48" s="1076" t="s">
        <v>1798</v>
      </c>
      <c r="BJ48" s="1225" t="s">
        <v>1234</v>
      </c>
      <c r="BL48" s="1225" t="s">
        <v>1234</v>
      </c>
      <c r="BN48" s="1076" t="s">
        <v>1822</v>
      </c>
    </row>
    <row customHeight="1" ht="11.25">
      <c r="A49" s="1082" t="s">
        <v>1823</v>
      </c>
      <c r="E49" s="415" t="s">
        <v>1824</v>
      </c>
      <c r="F49" s="1123" t="s">
        <v>1825</v>
      </c>
      <c r="G49" s="1124" t="str">
        <f>_xlfn.IFERROR(IF(f_year="","01.01."&amp;CURRENT_YEAR,"01.01."&amp;f_year),"01.01."&amp;CURRENT_YEAR)</f>
        <v>01.01.2024</v>
      </c>
      <c r="H49" s="1124" t="str">
        <f>_xlfn.IFERROR(IF(f_year="","31.12."&amp;CURRENT_YEAR,"31.12."&amp;f_year),"31.12."&amp;CURRENT_YEAR)</f>
        <v>31.12.2024</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8" t="s">
        <v>1191</v>
      </c>
      <c r="AZ49" s="1128" t="s">
        <v>1589</v>
      </c>
      <c r="BE49" s="1128">
        <v>2045</v>
      </c>
      <c r="BH49" s="1076" t="s">
        <v>1250</v>
      </c>
      <c r="BJ49" s="1225" t="s">
        <v>1236</v>
      </c>
      <c r="BL49" s="1225" t="s">
        <v>1236</v>
      </c>
    </row>
    <row customHeight="1" ht="11.25">
      <c r="A50" s="1082" t="s">
        <v>1826</v>
      </c>
      <c r="E50" s="415" t="s">
        <v>1827</v>
      </c>
      <c r="F50" s="1123" t="s">
        <v>1220</v>
      </c>
      <c r="G50" s="1124" t="str">
        <f>_xlfn.IFERROR(IF(f_year="","01.01."&amp;CURRENT_YEAR,"01.01."&amp;f_year),"01.01."&amp;CURRENT_YEAR)</f>
        <v>01.01.2024</v>
      </c>
      <c r="H50" s="1124" t="str">
        <f>_xlfn.IFERROR(IF(f_year="","31.12."&amp;CURRENT_YEAR,"31.12."&amp;f_year),"31.12."&amp;CURRENT_YEAR)</f>
        <v>31.12.2024</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8" t="s">
        <v>1193</v>
      </c>
      <c r="AZ50" s="1128" t="s">
        <v>1603</v>
      </c>
      <c r="BE50" s="1128">
        <v>2046</v>
      </c>
      <c r="BH50" s="1076" t="s">
        <v>1804</v>
      </c>
      <c r="BJ50" s="1225" t="s">
        <v>1238</v>
      </c>
      <c r="BL50" s="1225" t="s">
        <v>1238</v>
      </c>
    </row>
    <row customHeight="1" ht="11.25">
      <c r="A51" s="1082" t="s">
        <v>1828</v>
      </c>
      <c r="E51" s="415" t="s">
        <v>1829</v>
      </c>
      <c r="F51" s="1123" t="s">
        <v>1830</v>
      </c>
      <c r="G51" s="1124" t="str">
        <f>_xlfn.IFERROR(IF(TITLE_PERIOD_START="","01.01."&amp;CURRENT_YEAR,"01.01."&amp;YEAR(TITLE_PERIOD_START)),"01.01."&amp;CURRENT_YEAR)</f>
        <v>01.01.2025</v>
      </c>
      <c r="H51" s="1124"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8" t="s">
        <v>1195</v>
      </c>
      <c r="AZ51" s="1128" t="s">
        <v>1617</v>
      </c>
      <c r="BE51" s="1128">
        <v>2047</v>
      </c>
      <c r="BH51" s="1076" t="s">
        <v>1812</v>
      </c>
      <c r="BJ51" s="1225" t="s">
        <v>1831</v>
      </c>
      <c r="BL51" s="1225" t="s">
        <v>1831</v>
      </c>
    </row>
    <row customHeight="1" ht="11.25">
      <c r="A52" s="1082" t="s">
        <v>1832</v>
      </c>
      <c r="E52" s="415" t="s">
        <v>1833</v>
      </c>
      <c r="F52" s="1123" t="s">
        <v>1834</v>
      </c>
      <c r="G52" s="1124" t="str">
        <f>_xlfn.IFERROR(IF(TITLE_PERIOD_START="","01.01."&amp;CURRENT_YEAR,"01.01."&amp;YEAR(TITLE_PERIOD_START)),"01.01."&amp;CURRENT_YEAR)</f>
        <v>01.01.2025</v>
      </c>
      <c r="H52" s="1124"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8" t="s">
        <v>1197</v>
      </c>
      <c r="AZ52" s="1128" t="s">
        <v>1424</v>
      </c>
      <c r="BE52" s="1128">
        <v>2048</v>
      </c>
      <c r="BH52" s="1076" t="s">
        <v>1815</v>
      </c>
      <c r="BJ52" s="1225" t="s">
        <v>1249</v>
      </c>
      <c r="BL52" s="1225" t="s">
        <v>1249</v>
      </c>
    </row>
    <row customHeight="1" ht="11.25">
      <c r="A53" s="1082" t="s">
        <v>1835</v>
      </c>
      <c r="E53" s="415" t="s">
        <v>1836</v>
      </c>
      <c r="F53" s="1123" t="s">
        <v>1836</v>
      </c>
      <c r="G53" s="1124" t="str">
        <f>_xlfn.IFERROR(IF(f_year="","01.01."&amp;CURRENT_YEAR,"01.01."&amp;f_year),"01.01."&amp;CURRENT_YEAR)</f>
        <v>01.01.2024</v>
      </c>
      <c r="H53" s="1124" t="str">
        <f>_xlfn.IFERROR(IF(f_year="","31.12."&amp;CURRENT_YEAR,"31.12."&amp;f_year),"31.12."&amp;CURRENT_YEAR)</f>
        <v>31.12.2024</v>
      </c>
      <c r="I53" s="1749">
        <f>IF(AND(f_year="",TITLE_DATE_FIL=""),TRUE,FALSE)</f>
        <v>0</v>
      </c>
      <c r="J53" s="1752" t="s">
        <v>1837</v>
      </c>
      <c r="K53" s="1753"/>
      <c r="AX53" s="1128" t="s">
        <v>1199</v>
      </c>
      <c r="BE53" s="1128">
        <v>2049</v>
      </c>
      <c r="BH53" s="1076" t="s">
        <v>1818</v>
      </c>
      <c r="BJ53" s="1225" t="s">
        <v>1795</v>
      </c>
      <c r="BL53" s="1225" t="s">
        <v>1795</v>
      </c>
    </row>
    <row customHeight="1" ht="11.25">
      <c r="A54" s="1082" t="s">
        <v>1838</v>
      </c>
      <c r="AX54" s="1128" t="s">
        <v>1201</v>
      </c>
      <c r="AZ54" s="1075" t="s">
        <v>1839</v>
      </c>
      <c r="BE54" s="1128">
        <v>2050</v>
      </c>
      <c r="BH54" s="1076" t="s">
        <v>1822</v>
      </c>
      <c r="BJ54" s="1225" t="s">
        <v>1798</v>
      </c>
      <c r="BL54" s="1225" t="s">
        <v>1798</v>
      </c>
    </row>
    <row customHeight="1" ht="11.25">
      <c r="A55" s="1082" t="s">
        <v>1840</v>
      </c>
      <c r="AX55" s="1128" t="s">
        <v>1203</v>
      </c>
      <c r="AZ55" s="1128" t="s">
        <v>1426</v>
      </c>
      <c r="BE55" s="1128">
        <v>2051</v>
      </c>
      <c r="BH55" s="1078" t="s">
        <v>22</v>
      </c>
      <c r="BJ55" s="1225" t="s">
        <v>1250</v>
      </c>
      <c r="BL55" s="1225" t="s">
        <v>1250</v>
      </c>
    </row>
    <row customHeight="1" ht="11.25">
      <c r="A56" s="1082" t="s">
        <v>1841</v>
      </c>
      <c r="D56" s="1126" t="s">
        <v>1842</v>
      </c>
      <c r="E56" s="1103" t="s">
        <v>1843</v>
      </c>
      <c r="F56" s="1082" t="s">
        <v>1844</v>
      </c>
      <c r="AX56" s="1128" t="s">
        <v>1205</v>
      </c>
      <c r="AZ56" s="1128" t="s">
        <v>1452</v>
      </c>
      <c r="BE56" s="1128">
        <v>2052</v>
      </c>
      <c r="BH56" s="1078" t="s">
        <v>22</v>
      </c>
      <c r="BJ56" s="1225" t="s">
        <v>1804</v>
      </c>
      <c r="BL56" s="1225" t="s">
        <v>1804</v>
      </c>
    </row>
    <row customHeight="1" ht="11.25">
      <c r="A57" s="1082" t="s">
        <v>1845</v>
      </c>
      <c r="D57" s="1126" t="s">
        <v>1846</v>
      </c>
      <c r="E57" s="1103" t="s">
        <v>1847</v>
      </c>
      <c r="F57" s="1082" t="s">
        <v>1844</v>
      </c>
      <c r="AX57" s="1128" t="s">
        <v>1207</v>
      </c>
      <c r="AZ57" s="1128" t="s">
        <v>1485</v>
      </c>
      <c r="BE57" s="1128">
        <v>2053</v>
      </c>
      <c r="BJ57" s="1225" t="s">
        <v>1812</v>
      </c>
      <c r="BL57" s="1225" t="s">
        <v>1812</v>
      </c>
    </row>
    <row customHeight="1" ht="11.25">
      <c r="A58" s="1082" t="s">
        <v>1848</v>
      </c>
      <c r="D58" s="1126" t="s">
        <v>1849</v>
      </c>
      <c r="E58" s="1103" t="s">
        <v>1199</v>
      </c>
      <c r="F58" s="1082" t="s">
        <v>1844</v>
      </c>
      <c r="AX58" s="1128" t="s">
        <v>1209</v>
      </c>
      <c r="BE58" s="1128">
        <v>2054</v>
      </c>
      <c r="BJ58" s="1225" t="s">
        <v>1815</v>
      </c>
      <c r="BL58" s="1225" t="s">
        <v>1815</v>
      </c>
    </row>
    <row customHeight="1" ht="11.25">
      <c r="A59" s="1082" t="s">
        <v>1850</v>
      </c>
      <c r="D59" s="1126" t="s">
        <v>150</v>
      </c>
      <c r="E59" s="1103" t="s">
        <v>1156</v>
      </c>
      <c r="F59" s="1082" t="s">
        <v>1851</v>
      </c>
      <c r="AX59" s="1128" t="s">
        <v>1211</v>
      </c>
      <c r="AZ59" s="1075" t="s">
        <v>1852</v>
      </c>
      <c r="BE59" s="1128">
        <v>2055</v>
      </c>
      <c r="BJ59" s="1225" t="s">
        <v>1818</v>
      </c>
      <c r="BL59" s="1225" t="s">
        <v>1818</v>
      </c>
    </row>
    <row customHeight="1" ht="11.25">
      <c r="A60" s="1082" t="s">
        <v>1853</v>
      </c>
      <c r="D60" s="1126" t="s">
        <v>1854</v>
      </c>
      <c r="E60" s="1103" t="s">
        <v>1156</v>
      </c>
      <c r="F60" s="1082" t="s">
        <v>1851</v>
      </c>
      <c r="AX60" s="1128" t="s">
        <v>1213</v>
      </c>
      <c r="AZ60" s="1128" t="s">
        <v>1427</v>
      </c>
      <c r="BE60" s="1128">
        <v>2056</v>
      </c>
      <c r="BJ60" s="1225" t="s">
        <v>1822</v>
      </c>
      <c r="BL60" s="1225" t="s">
        <v>1822</v>
      </c>
    </row>
    <row customHeight="1" ht="11.25">
      <c r="A61" s="1082" t="s">
        <v>1855</v>
      </c>
      <c r="D61" s="1126" t="s">
        <v>1856</v>
      </c>
      <c r="E61" s="1103" t="s">
        <v>1156</v>
      </c>
      <c r="F61" s="1082" t="s">
        <v>1851</v>
      </c>
      <c r="AX61" s="1128" t="s">
        <v>1857</v>
      </c>
      <c r="AZ61" s="1128" t="s">
        <v>1453</v>
      </c>
      <c r="BE61" s="1128">
        <v>2057</v>
      </c>
      <c r="BL61" s="1225" t="s">
        <v>1242</v>
      </c>
    </row>
    <row customHeight="1" ht="11.25">
      <c r="A62" s="1082" t="s">
        <v>1858</v>
      </c>
      <c r="D62" s="1126" t="s">
        <v>149</v>
      </c>
      <c r="E62" s="1103">
        <v>30</v>
      </c>
      <c r="F62" s="1082" t="s">
        <v>1851</v>
      </c>
      <c r="AZ62" s="1128" t="s">
        <v>1486</v>
      </c>
      <c r="BE62" s="1128">
        <v>2058</v>
      </c>
      <c r="BL62" s="1225" t="s">
        <v>1244</v>
      </c>
    </row>
    <row customHeight="1" ht="11.25">
      <c r="A63" s="1082" t="s">
        <v>1859</v>
      </c>
      <c r="D63" s="1126" t="s">
        <v>1860</v>
      </c>
      <c r="E63" s="1103">
        <v>30</v>
      </c>
      <c r="F63" s="1082" t="s">
        <v>1851</v>
      </c>
      <c r="AZ63" s="1128" t="s">
        <v>1518</v>
      </c>
      <c r="BE63" s="1128">
        <v>2059</v>
      </c>
    </row>
    <row customHeight="1" ht="11.25">
      <c r="A64" s="1082" t="s">
        <v>1861</v>
      </c>
      <c r="D64" s="1126" t="s">
        <v>1862</v>
      </c>
      <c r="E64" s="1103">
        <v>30</v>
      </c>
      <c r="F64" s="1082" t="s">
        <v>1851</v>
      </c>
      <c r="AZ64" s="1128" t="s">
        <v>1541</v>
      </c>
      <c r="BE64" s="1128">
        <v>2060</v>
      </c>
    </row>
    <row customHeight="1" ht="11.25">
      <c r="A65" s="1082" t="s">
        <v>1863</v>
      </c>
      <c r="D65" s="1082"/>
      <c r="BE65" s="1128">
        <v>2061</v>
      </c>
    </row>
    <row customHeight="1" ht="11.25">
      <c r="A66" s="1082" t="s">
        <v>1864</v>
      </c>
      <c r="AZ66" s="1075" t="s">
        <v>1865</v>
      </c>
      <c r="BE66" s="1128">
        <v>2062</v>
      </c>
    </row>
    <row customHeight="1" ht="11.25">
      <c r="A67" s="1082" t="s">
        <v>1866</v>
      </c>
      <c r="AZ67" s="1128" t="s">
        <v>1428</v>
      </c>
      <c r="BE67" s="1128">
        <v>2063</v>
      </c>
    </row>
    <row customHeight="1" ht="11.25">
      <c r="A68" s="1082" t="s">
        <v>1867</v>
      </c>
      <c r="AZ68" s="1128" t="s">
        <v>1454</v>
      </c>
      <c r="BE68" s="1128">
        <v>2064</v>
      </c>
      <c r="BH68" s="1075" t="s">
        <v>1868</v>
      </c>
      <c r="BJ68" s="1075" t="s">
        <v>1869</v>
      </c>
      <c r="BL68" s="1075" t="s">
        <v>1870</v>
      </c>
      <c r="BN68" s="1075" t="s">
        <v>1871</v>
      </c>
    </row>
    <row customHeight="1" ht="11.25">
      <c r="A69" s="1082" t="s">
        <v>1872</v>
      </c>
      <c r="AZ69" s="1128" t="s">
        <v>1487</v>
      </c>
      <c r="BE69" s="1128">
        <v>2065</v>
      </c>
      <c r="BH69" s="1076" t="s">
        <v>1121</v>
      </c>
      <c r="BI69" s="1125" t="s">
        <v>118</v>
      </c>
      <c r="BJ69" s="1076" t="s">
        <v>1873</v>
      </c>
      <c r="BK69" s="1125" t="s">
        <v>118</v>
      </c>
      <c r="BL69" s="1076" t="s">
        <v>1874</v>
      </c>
      <c r="BM69" s="1078" t="s">
        <v>118</v>
      </c>
      <c r="BN69" s="1076" t="s">
        <v>1875</v>
      </c>
    </row>
    <row customHeight="1" ht="11.25">
      <c r="A70" s="1082" t="s">
        <v>1876</v>
      </c>
      <c r="AZ70" s="1128" t="s">
        <v>1519</v>
      </c>
      <c r="BE70" s="1128">
        <v>2066</v>
      </c>
      <c r="BH70" s="1076" t="s">
        <v>1116</v>
      </c>
      <c r="BJ70" s="1076" t="s">
        <v>1877</v>
      </c>
      <c r="BL70" s="1076" t="s">
        <v>1878</v>
      </c>
      <c r="BN70" s="1076" t="s">
        <v>1879</v>
      </c>
    </row>
    <row customHeight="1" ht="11.25">
      <c r="A71" s="1082" t="s">
        <v>1880</v>
      </c>
      <c r="AZ71" s="1128" t="s">
        <v>1521</v>
      </c>
      <c r="BE71" s="1128">
        <v>2067</v>
      </c>
      <c r="BH71" s="1076" t="s">
        <v>1073</v>
      </c>
      <c r="BI71" s="1125" t="s">
        <v>90</v>
      </c>
      <c r="BJ71" s="1076" t="s">
        <v>1881</v>
      </c>
      <c r="BK71" s="1125" t="s">
        <v>90</v>
      </c>
      <c r="BL71" s="1076" t="s">
        <v>1882</v>
      </c>
      <c r="BM71" s="1078" t="s">
        <v>90</v>
      </c>
      <c r="BN71" s="1076" t="s">
        <v>1883</v>
      </c>
    </row>
    <row customHeight="1" ht="11.25">
      <c r="A72" s="1082" t="s">
        <v>1884</v>
      </c>
      <c r="AZ72" s="1128" t="s">
        <v>19</v>
      </c>
      <c r="BE72" s="1128">
        <v>2068</v>
      </c>
      <c r="BH72" s="1076" t="s">
        <v>1885</v>
      </c>
      <c r="BJ72" s="1076" t="s">
        <v>1885</v>
      </c>
      <c r="BL72" s="1076" t="s">
        <v>1885</v>
      </c>
      <c r="BN72" s="1076" t="s">
        <v>1886</v>
      </c>
    </row>
    <row customHeight="1" ht="11.25">
      <c r="A73" s="1082" t="s">
        <v>1887</v>
      </c>
      <c r="BE73" s="1128">
        <v>2069</v>
      </c>
      <c r="BH73" s="1076" t="s">
        <v>1888</v>
      </c>
      <c r="BI73" s="1125" t="s">
        <v>119</v>
      </c>
      <c r="BJ73" s="1076" t="s">
        <v>1889</v>
      </c>
      <c r="BK73" s="1125" t="s">
        <v>119</v>
      </c>
      <c r="BL73" s="1076" t="s">
        <v>1890</v>
      </c>
      <c r="BM73" s="1078" t="s">
        <v>119</v>
      </c>
      <c r="BN73" s="1076" t="s">
        <v>1891</v>
      </c>
    </row>
    <row customHeight="1" ht="11.25">
      <c r="A74" s="1082" t="s">
        <v>1892</v>
      </c>
      <c r="BE74" s="1128">
        <v>2070</v>
      </c>
      <c r="BH74" s="1076" t="s">
        <v>1893</v>
      </c>
      <c r="BJ74" s="1076" t="s">
        <v>1894</v>
      </c>
      <c r="BL74" s="1076" t="s">
        <v>1895</v>
      </c>
      <c r="BN74" s="1076" t="s">
        <v>1896</v>
      </c>
    </row>
    <row customHeight="1" ht="11.25">
      <c r="A75" s="1082" t="s">
        <v>1897</v>
      </c>
      <c r="AZ75" s="1075" t="s">
        <v>1898</v>
      </c>
      <c r="BH75" s="1076" t="s">
        <v>1899</v>
      </c>
      <c r="BJ75" s="1076" t="s">
        <v>1899</v>
      </c>
      <c r="BL75" s="1076" t="s">
        <v>1899</v>
      </c>
    </row>
    <row customHeight="1" ht="11.25">
      <c r="A76" s="1082" t="s">
        <v>1900</v>
      </c>
      <c r="AZ76" s="1128" t="s">
        <v>1437</v>
      </c>
      <c r="BH76" s="1076" t="s">
        <v>1098</v>
      </c>
      <c r="BJ76" s="1076" t="s">
        <v>1901</v>
      </c>
      <c r="BL76" s="1076" t="s">
        <v>1902</v>
      </c>
    </row>
    <row customHeight="1" ht="11.25">
      <c r="A77" s="1082" t="s">
        <v>1903</v>
      </c>
      <c r="AZ77" s="1128" t="s">
        <v>1464</v>
      </c>
    </row>
    <row customHeight="1" ht="11.25">
      <c r="A78" s="1082" t="s">
        <v>1904</v>
      </c>
      <c r="AZ78" s="1128" t="s">
        <v>1494</v>
      </c>
    </row>
    <row customHeight="1" ht="11.25">
      <c r="A79" s="1082" t="s">
        <v>1905</v>
      </c>
      <c r="AZ79" s="1128" t="s">
        <v>1525</v>
      </c>
      <c r="BH79" s="1075" t="s">
        <v>1119</v>
      </c>
      <c r="BJ79" s="1075" t="s">
        <v>1906</v>
      </c>
      <c r="BL79" s="1075" t="s">
        <v>1907</v>
      </c>
    </row>
    <row customHeight="1" ht="11.25">
      <c r="A80" s="1082" t="s">
        <v>1908</v>
      </c>
      <c r="AZ80" s="1128" t="s">
        <v>1546</v>
      </c>
      <c r="BH80" s="1076" t="s">
        <v>1125</v>
      </c>
      <c r="BJ80" s="1076" t="s">
        <v>1909</v>
      </c>
      <c r="BL80" s="1076" t="s">
        <v>1910</v>
      </c>
    </row>
    <row customHeight="1" ht="11.25">
      <c r="A81" s="1082" t="s">
        <v>1911</v>
      </c>
      <c r="AZ81" s="1128" t="s">
        <v>1563</v>
      </c>
      <c r="BH81" s="1076" t="s">
        <v>1122</v>
      </c>
      <c r="BJ81" s="1076" t="s">
        <v>1912</v>
      </c>
      <c r="BL81" s="1076" t="s">
        <v>1913</v>
      </c>
    </row>
    <row customHeight="1" ht="11.25">
      <c r="A82" s="1082" t="s">
        <v>1914</v>
      </c>
      <c r="AZ82" s="1128" t="s">
        <v>1577</v>
      </c>
      <c r="BH82" s="1076" t="s">
        <v>1915</v>
      </c>
      <c r="BJ82" s="1076" t="s">
        <v>1916</v>
      </c>
      <c r="BL82" s="1076" t="s">
        <v>1917</v>
      </c>
    </row>
    <row customHeight="1" ht="11.25">
      <c r="A83" s="1082" t="s">
        <v>1918</v>
      </c>
      <c r="BH83" s="1076" t="s">
        <v>1919</v>
      </c>
      <c r="BJ83" s="1076" t="s">
        <v>1920</v>
      </c>
      <c r="BL83" s="1076" t="s">
        <v>1921</v>
      </c>
    </row>
    <row customHeight="1" ht="11.25">
      <c r="A84" s="1082" t="s">
        <v>1922</v>
      </c>
      <c r="AZ84" s="1075" t="s">
        <v>1923</v>
      </c>
    </row>
    <row customHeight="1" ht="11.25">
      <c r="A85" s="1875" t="s">
        <v>1924</v>
      </c>
      <c r="AZ85" s="1128" t="s">
        <v>1925</v>
      </c>
    </row>
    <row customHeight="1" ht="11.25">
      <c r="A86" s="1082" t="s">
        <v>1926</v>
      </c>
      <c r="AZ86" s="1128" t="s">
        <v>1927</v>
      </c>
      <c r="BH86" s="1075" t="s">
        <v>1072</v>
      </c>
      <c r="BJ86" s="1075" t="s">
        <v>1928</v>
      </c>
      <c r="BL86" s="1075" t="s">
        <v>1929</v>
      </c>
    </row>
    <row customHeight="1" ht="11.25">
      <c r="A87" s="1082" t="s">
        <v>1930</v>
      </c>
      <c r="AZ87" s="1128" t="s">
        <v>1931</v>
      </c>
      <c r="BH87" s="1076" t="s">
        <v>1074</v>
      </c>
      <c r="BJ87" s="1076" t="s">
        <v>1932</v>
      </c>
      <c r="BL87" s="1076" t="s">
        <v>1933</v>
      </c>
    </row>
    <row customHeight="1" ht="11.25">
      <c r="A88" s="1082" t="s">
        <v>1934</v>
      </c>
      <c r="AZ88" s="1614"/>
      <c r="BH88" s="1076" t="s">
        <v>1102</v>
      </c>
      <c r="BJ88" s="1076" t="s">
        <v>1935</v>
      </c>
      <c r="BL88" s="1076" t="s">
        <v>1936</v>
      </c>
    </row>
    <row customHeight="1" ht="11.25">
      <c r="A89" s="1082" t="s">
        <v>1937</v>
      </c>
      <c r="AZ89" s="1075" t="s">
        <v>1938</v>
      </c>
    </row>
    <row customHeight="1" ht="11.25">
      <c r="A90" s="1082" t="s">
        <v>1939</v>
      </c>
      <c r="AZ90" s="1128" t="s">
        <v>1220</v>
      </c>
    </row>
    <row customHeight="1" ht="11.25">
      <c r="A91" s="1082" t="s">
        <v>1940</v>
      </c>
      <c r="AZ91" s="1128" t="s">
        <v>1256</v>
      </c>
      <c r="BH91" s="1075" t="s">
        <v>1941</v>
      </c>
      <c r="BJ91" s="1075" t="s">
        <v>1942</v>
      </c>
      <c r="BL91" s="1075" t="s">
        <v>1943</v>
      </c>
    </row>
    <row customHeight="1" ht="11.25">
      <c r="AZ92" s="1128" t="s">
        <v>1944</v>
      </c>
      <c r="BH92" s="1076" t="s">
        <v>1945</v>
      </c>
      <c r="BJ92" s="1076" t="s">
        <v>1946</v>
      </c>
      <c r="BL92" s="1076" t="s">
        <v>1947</v>
      </c>
    </row>
    <row customHeight="1" ht="11.25">
      <c r="AZ93" s="1128" t="s">
        <v>1948</v>
      </c>
      <c r="BH93" s="1076" t="s">
        <v>1949</v>
      </c>
      <c r="BJ93" s="1076" t="s">
        <v>1950</v>
      </c>
      <c r="BL93" s="1076" t="s">
        <v>1951</v>
      </c>
    </row>
    <row customHeight="1" ht="11.25">
      <c r="AZ94" s="1128" t="s">
        <v>1952</v>
      </c>
    </row>
    <row r="96" customHeight="1" ht="11.25">
      <c r="AZ96" s="1075" t="s">
        <v>1953</v>
      </c>
      <c r="BH96" s="1075" t="s">
        <v>1954</v>
      </c>
      <c r="BJ96" s="1075" t="s">
        <v>1955</v>
      </c>
      <c r="BL96" s="1075" t="s">
        <v>1956</v>
      </c>
      <c r="BN96" s="1075" t="s">
        <v>1957</v>
      </c>
    </row>
    <row customHeight="1" ht="11.25">
      <c r="AZ97" s="1906" t="s">
        <v>1958</v>
      </c>
      <c r="BA97" s="1907" t="s">
        <v>1959</v>
      </c>
      <c r="BH97" s="1076" t="s">
        <v>1960</v>
      </c>
      <c r="BJ97" s="1076" t="s">
        <v>1961</v>
      </c>
      <c r="BL97" s="1076" t="s">
        <v>1962</v>
      </c>
      <c r="BN97" s="1076" t="s">
        <v>1963</v>
      </c>
    </row>
    <row customHeight="1" ht="11.25">
      <c r="AZ98" s="1906" t="s">
        <v>1964</v>
      </c>
      <c r="BA98" s="1907" t="s">
        <v>1965</v>
      </c>
      <c r="BH98" s="1076" t="s">
        <v>1966</v>
      </c>
      <c r="BJ98" s="1076" t="s">
        <v>1967</v>
      </c>
      <c r="BL98" s="1076" t="s">
        <v>1968</v>
      </c>
      <c r="BN98" s="1076" t="s">
        <v>1969</v>
      </c>
    </row>
    <row customHeight="1" ht="22.5">
      <c r="AZ99" s="1906" t="s">
        <v>1970</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1971</v>
      </c>
      <c r="BJ99" s="1076" t="s">
        <v>1972</v>
      </c>
      <c r="BL99" s="1076" t="s">
        <v>1973</v>
      </c>
      <c r="BN99" s="1076" t="s">
        <v>1974</v>
      </c>
    </row>
    <row customHeight="1" ht="22.5">
      <c r="AZ100" s="1906" t="s">
        <v>1975</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1617</v>
      </c>
      <c r="BL100" s="1076" t="s">
        <v>1617</v>
      </c>
      <c r="BN100" s="1076" t="s">
        <v>1976</v>
      </c>
    </row>
    <row customHeight="1" ht="22.5">
      <c r="AZ101" s="1906" t="s">
        <v>1977</v>
      </c>
      <c r="BA101" s="1907" t="s">
        <v>1978</v>
      </c>
      <c r="BN101" s="1076" t="s">
        <v>1979</v>
      </c>
    </row>
    <row customHeight="1" ht="22.5">
      <c r="AZ102" s="1906" t="s">
        <v>1980</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1981</v>
      </c>
    </row>
    <row customHeight="1" ht="11.25">
      <c r="AZ103" s="1906" t="s">
        <v>1982</v>
      </c>
      <c r="BA103" s="1907" t="s">
        <v>1983</v>
      </c>
      <c r="BN103" s="1076" t="s">
        <v>1984</v>
      </c>
    </row>
    <row customHeight="1" ht="11.25">
      <c r="BN104" s="1076" t="s">
        <v>1985</v>
      </c>
    </row>
    <row customHeight="1" ht="11.25">
      <c r="AZ105" s="1699" t="s">
        <v>1986</v>
      </c>
    </row>
    <row customHeight="1" ht="11.25">
      <c r="AZ106" s="1128" t="s">
        <v>1987</v>
      </c>
    </row>
    <row customHeight="1" ht="11.25">
      <c r="AZ107" s="1128" t="s">
        <v>1988</v>
      </c>
      <c r="BH107" s="1075" t="s">
        <v>1989</v>
      </c>
      <c r="BJ107" s="1075" t="s">
        <v>1990</v>
      </c>
      <c r="BL107" s="1075" t="s">
        <v>1991</v>
      </c>
      <c r="BN107" s="1075" t="s">
        <v>1992</v>
      </c>
    </row>
    <row customHeight="1" ht="11.25">
      <c r="AZ108" s="1128" t="s">
        <v>588</v>
      </c>
      <c r="BH108" s="1076" t="s">
        <v>1993</v>
      </c>
      <c r="BJ108" s="1076" t="s">
        <v>1994</v>
      </c>
      <c r="BL108" s="1076" t="s">
        <v>1695</v>
      </c>
      <c r="BN108" s="1076" t="s">
        <v>1995</v>
      </c>
    </row>
    <row customHeight="1" ht="11.25">
      <c r="BH109" s="1076" t="s">
        <v>1996</v>
      </c>
    </row>
    <row customHeight="1" ht="11.25">
      <c r="AZ110" s="1699" t="s">
        <v>1997</v>
      </c>
      <c r="BH110" s="1076" t="s">
        <v>1996</v>
      </c>
    </row>
    <row customHeight="1" ht="11.25">
      <c r="AZ111" s="1906" t="s">
        <v>1958</v>
      </c>
      <c r="BA111" s="1907" t="s">
        <v>1959</v>
      </c>
    </row>
    <row customHeight="1" ht="11.25">
      <c r="AZ112" s="1906" t="s">
        <v>1964</v>
      </c>
      <c r="BA112" s="1907" t="s">
        <v>1965</v>
      </c>
    </row>
    <row customHeight="1" ht="22.5">
      <c r="AZ113" s="1906" t="s">
        <v>1970</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1975</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1998</v>
      </c>
    </row>
    <row customHeight="1" ht="22.5">
      <c r="AZ115" s="1906" t="s">
        <v>1980</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1424</v>
      </c>
    </row>
    <row customHeight="1" ht="11.25">
      <c r="AZ116" s="1906" t="s">
        <v>1982</v>
      </c>
      <c r="BA116" s="1907" t="s">
        <v>1983</v>
      </c>
      <c r="BH116" s="1076" t="s">
        <v>1450</v>
      </c>
    </row>
    <row customHeight="1" ht="11.25">
      <c r="BH117" s="1076" t="s">
        <v>1483</v>
      </c>
    </row>
    <row customHeight="1" ht="11.25">
      <c r="BH118" s="1076" t="s">
        <v>1516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EF61A-BEDA-DB8D-BA6E-C6E1C049633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316</v>
      </c>
      <c r="J1" s="463" t="s">
        <v>14</v>
      </c>
    </row>
    <row customHeight="1" ht="22.5" hidden="1">
      <c r="A2" s="510"/>
      <c r="B2" s="510"/>
      <c r="C2" s="1737" t="s">
        <v>103</v>
      </c>
      <c r="D2" s="1528"/>
      <c r="E2" s="1534"/>
      <c r="F2" s="1557"/>
      <c r="H2" s="483"/>
      <c r="J2" s="463">
        <v>0</v>
      </c>
    </row>
    <row customHeight="1" ht="11.25" hidden="1">
      <c r="J3" s="463">
        <v>0</v>
      </c>
    </row>
    <row customHeight="1" ht="11.549999999999999">
      <c r="A4" s="1558"/>
      <c r="B4" s="1558"/>
      <c r="J4" s="463">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60"/>
      <c r="F5" s="2261"/>
      <c r="I5" s="723"/>
      <c r="J5" s="463">
        <v>26</v>
      </c>
    </row>
    <row customHeight="1" ht="18">
      <c r="D6" s="2197" t="str">
        <f>IF(region_name=0,"Не определено",region_name)</f>
        <v>Амурская область</v>
      </c>
      <c r="E6" s="2197"/>
      <c r="F6" s="2197"/>
      <c r="I6" s="723"/>
      <c r="J6" s="463">
        <v>17</v>
      </c>
    </row>
    <row s="485" customFormat="1" customHeight="1" ht="11.549999999999999">
      <c r="A7" s="509"/>
      <c r="B7" s="509"/>
      <c r="D7" s="722"/>
      <c r="E7" s="722"/>
      <c r="F7" s="760"/>
      <c r="G7" s="722"/>
      <c r="J7" s="485">
        <v>11</v>
      </c>
    </row>
    <row customHeight="1" ht="11.25" hidden="1">
      <c r="A8" s="510"/>
      <c r="B8" s="510"/>
      <c r="C8" s="465"/>
      <c r="D8" s="471"/>
      <c r="E8" s="2228"/>
      <c r="F8" s="2228"/>
      <c r="J8" s="463">
        <v>0</v>
      </c>
    </row>
    <row customHeight="1" ht="11.549999999999999">
      <c r="A9" s="510"/>
      <c r="B9" s="510"/>
      <c r="C9" s="465"/>
      <c r="D9" s="2225" t="s">
        <v>317</v>
      </c>
      <c r="E9" s="2226"/>
      <c r="F9" s="2226"/>
      <c r="G9" s="2229" t="s">
        <v>318</v>
      </c>
      <c r="J9" s="463">
        <v>11</v>
      </c>
    </row>
    <row customHeight="1" ht="11.549999999999999">
      <c r="A10" s="510"/>
      <c r="B10" s="510"/>
      <c r="C10" s="465"/>
      <c r="D10" s="1482" t="s">
        <v>88</v>
      </c>
      <c r="E10" s="1484" t="s">
        <v>319</v>
      </c>
      <c r="F10" s="1484" t="s">
        <v>320</v>
      </c>
      <c r="G10" s="2230"/>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1999</v>
      </c>
      <c r="F13" s="1529" t="s">
        <v>323</v>
      </c>
      <c r="G13" s="482"/>
      <c r="H13" s="1541"/>
      <c r="J13" s="463">
        <v>19</v>
      </c>
    </row>
    <row customHeight="1" ht="19.95">
      <c r="A14" s="510"/>
      <c r="B14" s="510"/>
      <c r="C14" s="465"/>
      <c r="D14" s="1531" t="s">
        <v>735</v>
      </c>
      <c r="E14" s="1532" t="s">
        <v>2000</v>
      </c>
      <c r="F14" s="1534"/>
      <c r="G14" s="1533" t="s">
        <v>2001</v>
      </c>
      <c r="H14" s="1541"/>
      <c r="J14" s="463">
        <v>19</v>
      </c>
    </row>
    <row customHeight="1" ht="19.95">
      <c r="A15" s="510"/>
      <c r="B15" s="510"/>
      <c r="C15" s="465"/>
      <c r="D15" s="1531" t="s">
        <v>324</v>
      </c>
      <c r="E15" s="1532" t="s">
        <v>2002</v>
      </c>
      <c r="F15" s="1534"/>
      <c r="G15" s="1533" t="s">
        <v>2003</v>
      </c>
      <c r="H15" s="1541"/>
      <c r="J15" s="463">
        <v>19</v>
      </c>
    </row>
    <row customHeight="1" ht="24">
      <c r="A16" s="510"/>
      <c r="B16" s="510"/>
      <c r="C16" s="465"/>
      <c r="D16" s="1531" t="s">
        <v>327</v>
      </c>
      <c r="E16" s="1530" t="s">
        <v>2004</v>
      </c>
      <c r="F16" s="1539"/>
      <c r="G16" s="482" t="s">
        <v>2005</v>
      </c>
      <c r="H16" s="1541"/>
      <c r="J16" s="463">
        <v>23</v>
      </c>
    </row>
    <row customHeight="1" ht="48.29999999999999">
      <c r="A17" s="510"/>
      <c r="B17" s="510"/>
      <c r="C17" s="465"/>
      <c r="D17" s="1528">
        <v>3</v>
      </c>
      <c r="E17" s="1535" t="s">
        <v>2006</v>
      </c>
      <c r="F17" s="1534"/>
      <c r="G17" s="482" t="s">
        <v>2007</v>
      </c>
      <c r="H17" s="1541"/>
      <c r="J17" s="463">
        <v>46</v>
      </c>
    </row>
    <row customHeight="1" ht="48.29999999999999">
      <c r="A18" s="1483">
        <v>1</v>
      </c>
      <c r="B18" s="510"/>
      <c r="C18" s="1485"/>
      <c r="D18" s="1528" t="s">
        <v>91</v>
      </c>
      <c r="E18" s="1535" t="s">
        <v>2008</v>
      </c>
      <c r="F18" s="1534"/>
      <c r="G18" s="482" t="s">
        <v>2007</v>
      </c>
      <c r="H18" s="1541"/>
      <c r="I18" s="860"/>
      <c r="J18" s="463">
        <v>46</v>
      </c>
    </row>
    <row customHeight="1" ht="23.25">
      <c r="A19" s="510"/>
      <c r="B19" s="510"/>
      <c r="C19" s="465"/>
      <c r="D19" s="1528" t="s">
        <v>119</v>
      </c>
      <c r="E19" s="1535" t="s">
        <v>2009</v>
      </c>
      <c r="F19" s="1529" t="s">
        <v>323</v>
      </c>
      <c r="G19" s="2492" t="s">
        <v>2010</v>
      </c>
      <c r="H19" s="483"/>
      <c r="J19" s="463">
        <v>22</v>
      </c>
    </row>
    <row s="1538" customFormat="1" customHeight="1" ht="5.25" hidden="1">
      <c r="A20" s="510"/>
      <c r="B20" s="510"/>
      <c r="C20" s="1537"/>
      <c r="D20" s="1536" t="s">
        <v>1320</v>
      </c>
      <c r="E20" s="1022"/>
      <c r="F20" s="1021"/>
      <c r="G20" s="2493"/>
      <c r="J20" s="1538">
        <v>0</v>
      </c>
    </row>
    <row customHeight="1" ht="15.75">
      <c r="A21" s="510"/>
      <c r="B21" s="510"/>
      <c r="C21" s="465"/>
      <c r="D21" s="475"/>
      <c r="E21" s="423" t="s">
        <v>356</v>
      </c>
      <c r="F21" s="477"/>
      <c r="G21" s="2494"/>
      <c r="H21" s="1541"/>
      <c r="J21" s="463">
        <v>15</v>
      </c>
    </row>
    <row s="509" customFormat="1" customHeight="1" ht="26.25">
      <c r="A22" s="510"/>
      <c r="B22" s="510"/>
      <c r="C22" s="510"/>
      <c r="D22" s="1528" t="s">
        <v>92</v>
      </c>
      <c r="E22" s="482" t="s">
        <v>2011</v>
      </c>
      <c r="F22" s="1534"/>
      <c r="G22" s="482" t="s">
        <v>2012</v>
      </c>
      <c r="H22" s="1540"/>
      <c r="J22" s="509">
        <v>25</v>
      </c>
    </row>
    <row s="509" customFormat="1" customHeight="1" ht="19.95">
      <c r="A23" s="510"/>
      <c r="B23" s="510"/>
      <c r="C23" s="510"/>
      <c r="D23" s="1528" t="s">
        <v>93</v>
      </c>
      <c r="E23" s="1535" t="s">
        <v>2013</v>
      </c>
      <c r="F23" s="1539"/>
      <c r="G23" s="482" t="s">
        <v>2014</v>
      </c>
      <c r="H23" s="1540"/>
      <c r="J23" s="509">
        <v>19</v>
      </c>
    </row>
    <row s="509" customFormat="1" customHeight="1" ht="144" hidden="1">
      <c r="A24" s="510"/>
      <c r="B24" s="510"/>
      <c r="C24" s="510"/>
      <c r="D24" s="1528" t="s">
        <v>120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9D4FB-669E-24C8-E7C7-EEB25CC19D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2015</v>
      </c>
      <c r="G1" s="1639" t="s">
        <v>47</v>
      </c>
      <c r="H1" s="1639" t="s">
        <v>49</v>
      </c>
      <c r="IU1" s="1163" t="s">
        <v>14</v>
      </c>
    </row>
    <row s="1855" customFormat="1" customHeight="1" ht="22.5" hidden="1">
      <c r="A2" s="839"/>
      <c r="B2" s="1168">
        <v>1</v>
      </c>
      <c r="C2" s="1168"/>
      <c r="D2" s="1933" t="s">
        <v>103</v>
      </c>
      <c r="E2" s="1492"/>
      <c r="F2" s="1499"/>
      <c r="G2" s="1499"/>
      <c r="H2" s="1499"/>
      <c r="I2" s="1989"/>
      <c r="J2" s="1990"/>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6"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6" customFormat="1" customHeight="1" ht="27.299999999999997">
      <c r="A5" s="1163"/>
      <c r="B5" s="1168"/>
      <c r="C5" s="1163"/>
      <c r="D5" s="1503"/>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1"/>
      <c r="G5" s="2121"/>
      <c r="H5" s="2121"/>
      <c r="I5" s="2121"/>
      <c r="J5" s="2121"/>
      <c r="K5" s="255"/>
      <c r="L5" s="508"/>
      <c r="M5" s="508"/>
      <c r="N5" s="508"/>
      <c r="O5" s="234"/>
      <c r="P5" s="508"/>
      <c r="Q5" s="233"/>
      <c r="R5" s="233"/>
      <c r="S5" s="233"/>
      <c r="T5" s="233"/>
      <c r="IU5" s="515">
        <v>26</v>
      </c>
    </row>
    <row s="1826"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6" customFormat="1" customHeight="1" ht="14.699999999999998">
      <c r="A7" s="1163"/>
      <c r="B7" s="1168"/>
      <c r="C7" s="1163"/>
      <c r="D7" s="1503"/>
      <c r="E7" s="2122" t="s">
        <v>317</v>
      </c>
      <c r="F7" s="2123"/>
      <c r="G7" s="2123"/>
      <c r="H7" s="2123"/>
      <c r="I7" s="2123"/>
      <c r="J7" s="2495" t="s">
        <v>318</v>
      </c>
      <c r="K7" s="508"/>
      <c r="L7" s="508"/>
      <c r="M7" s="508"/>
      <c r="N7" s="508"/>
      <c r="O7" s="234"/>
      <c r="P7" s="508"/>
      <c r="Q7" s="233"/>
      <c r="R7" s="233"/>
      <c r="S7" s="233"/>
      <c r="T7" s="233"/>
      <c r="IU7" s="515">
        <v>14</v>
      </c>
    </row>
    <row s="1826" customFormat="1" customHeight="1" ht="21">
      <c r="A8" s="1163"/>
      <c r="B8" s="1168"/>
      <c r="C8" s="1163"/>
      <c r="D8" s="1503"/>
      <c r="E8" s="1556" t="s">
        <v>88</v>
      </c>
      <c r="F8" s="1548" t="s">
        <v>2015</v>
      </c>
      <c r="G8" s="1548" t="s">
        <v>47</v>
      </c>
      <c r="H8" s="1548" t="s">
        <v>49</v>
      </c>
      <c r="I8" s="1548" t="s">
        <v>2016</v>
      </c>
      <c r="J8" s="2496"/>
      <c r="K8" s="508"/>
      <c r="L8" s="508"/>
      <c r="M8" s="508"/>
      <c r="N8" s="508"/>
      <c r="O8" s="234"/>
      <c r="P8" s="508"/>
      <c r="Q8" s="233"/>
      <c r="R8" s="233"/>
      <c r="S8" s="233"/>
      <c r="T8" s="233"/>
      <c r="IU8" s="515">
        <v>20</v>
      </c>
    </row>
    <row s="1855" customFormat="1" customHeight="1" ht="23.25">
      <c r="A9" s="1639"/>
      <c r="B9" s="1168">
        <v>1</v>
      </c>
      <c r="C9" s="1168"/>
      <c r="D9" s="809"/>
      <c r="E9" s="1492">
        <v>1</v>
      </c>
      <c r="F9" s="1555"/>
      <c r="G9" s="1499"/>
      <c r="H9" s="1499"/>
      <c r="I9" s="1546"/>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5" customFormat="1" customHeight="1" ht="15.75">
      <c r="A10" s="1639"/>
      <c r="B10" s="1168"/>
      <c r="C10" s="420"/>
      <c r="D10" s="809"/>
      <c r="E10" s="1549"/>
      <c r="F10" s="1508" t="s">
        <v>2017</v>
      </c>
      <c r="G10" s="1550"/>
      <c r="H10" s="1550"/>
      <c r="I10" s="1904"/>
      <c r="J10" s="2192"/>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6"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6"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6"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E575-37C9-DB41-C409-407FCC6298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5" customFormat="1" customHeight="1" ht="22.5" hidden="1">
      <c r="A2" s="839"/>
      <c r="B2" s="1168">
        <v>1</v>
      </c>
      <c r="C2" s="1168"/>
      <c r="D2" s="1933" t="s">
        <v>103</v>
      </c>
      <c r="E2" s="1894"/>
      <c r="F2" s="1897" t="str">
        <f>IF(ROIV_INFO_NAME="","",ROIV_INFO_NAME)</f>
        <v>АО "ДГК"</v>
      </c>
      <c r="G2" s="1922" t="s">
        <v>22</v>
      </c>
      <c r="H2" s="1921"/>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2"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6"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6" customFormat="1" customHeight="1" ht="27.299999999999997">
      <c r="A5" s="1163"/>
      <c r="B5" s="1168"/>
      <c r="C5" s="1163"/>
      <c r="D5" s="1503"/>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596"/>
      <c r="M5" s="255"/>
      <c r="N5" s="508"/>
      <c r="O5" s="508"/>
      <c r="P5" s="508"/>
      <c r="Q5" s="234"/>
      <c r="R5" s="508"/>
      <c r="S5" s="233"/>
      <c r="T5" s="233"/>
      <c r="U5" s="233"/>
      <c r="V5" s="233"/>
      <c r="IW5" s="515">
        <v>26</v>
      </c>
    </row>
    <row s="1826"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6" customFormat="1" customHeight="1" ht="14.699999999999998">
      <c r="A7" s="1163"/>
      <c r="B7" s="1168"/>
      <c r="C7" s="1163"/>
      <c r="D7" s="1503"/>
      <c r="E7" s="2122" t="s">
        <v>317</v>
      </c>
      <c r="F7" s="2123"/>
      <c r="G7" s="2123"/>
      <c r="H7" s="2123"/>
      <c r="I7" s="2123"/>
      <c r="J7" s="2123"/>
      <c r="K7" s="2123"/>
      <c r="L7" s="2495" t="s">
        <v>318</v>
      </c>
      <c r="M7" s="508"/>
      <c r="N7" s="508"/>
      <c r="O7" s="508"/>
      <c r="P7" s="508"/>
      <c r="Q7" s="234"/>
      <c r="R7" s="508"/>
      <c r="S7" s="233"/>
      <c r="T7" s="233"/>
      <c r="U7" s="233"/>
      <c r="V7" s="233"/>
      <c r="IW7" s="515">
        <v>14</v>
      </c>
    </row>
    <row s="1826" customFormat="1" customHeight="1" ht="67.2">
      <c r="A8" s="1163"/>
      <c r="B8" s="1168"/>
      <c r="C8" s="1163"/>
      <c r="D8" s="1503"/>
      <c r="E8" s="2499" t="s">
        <v>88</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7"/>
      <c r="M8" s="508"/>
      <c r="N8" s="508"/>
      <c r="O8" s="508"/>
      <c r="P8" s="508"/>
      <c r="Q8" s="234"/>
      <c r="R8" s="508"/>
      <c r="S8" s="233"/>
      <c r="T8" s="233"/>
      <c r="U8" s="233"/>
      <c r="V8" s="233"/>
      <c r="IW8" s="515">
        <v>64</v>
      </c>
    </row>
    <row s="1826" customFormat="1" customHeight="1" ht="29.25">
      <c r="A9" s="1163"/>
      <c r="B9" s="1168"/>
      <c r="C9" s="1163"/>
      <c r="D9" s="1503"/>
      <c r="E9" s="2500"/>
      <c r="F9" s="2500"/>
      <c r="G9" s="1545" t="s">
        <v>2018</v>
      </c>
      <c r="H9" s="1545" t="s">
        <v>2019</v>
      </c>
      <c r="I9" s="1545" t="s">
        <v>2020</v>
      </c>
      <c r="J9" s="2500"/>
      <c r="K9" s="2500"/>
      <c r="L9" s="2496"/>
      <c r="M9" s="508"/>
      <c r="N9" s="508"/>
      <c r="O9" s="508"/>
      <c r="P9" s="508"/>
      <c r="Q9" s="234"/>
      <c r="R9" s="508"/>
      <c r="S9" s="233"/>
      <c r="T9" s="233"/>
      <c r="U9" s="233"/>
      <c r="V9" s="233"/>
      <c r="IW9" s="515">
        <v>28</v>
      </c>
    </row>
    <row s="1855" customFormat="1" customHeight="1" ht="23.25">
      <c r="A10" s="2120"/>
      <c r="B10" s="1168">
        <v>1</v>
      </c>
      <c r="C10" s="1168"/>
      <c r="D10" s="808"/>
      <c r="E10" s="806">
        <v>1</v>
      </c>
      <c r="F10" s="1547" t="str">
        <f>IF(ROIV_INFO_NAME="","",ROIV_INFO_NAME)</f>
        <v>АО "ДГК"</v>
      </c>
      <c r="G10" s="1739" t="s">
        <v>22</v>
      </c>
      <c r="H10" s="1921"/>
      <c r="I10" s="1542"/>
      <c r="J10" s="826"/>
      <c r="K10" s="826"/>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5" customFormat="1" customHeight="1" ht="15.75">
      <c r="A11" s="2120"/>
      <c r="B11" s="1168"/>
      <c r="C11" s="420"/>
      <c r="D11" s="809"/>
      <c r="E11" s="429"/>
      <c r="F11" s="424" t="s">
        <v>2021</v>
      </c>
      <c r="G11" s="195"/>
      <c r="H11" s="195"/>
      <c r="I11" s="195"/>
      <c r="J11" s="195"/>
      <c r="K11" s="432"/>
      <c r="L11" s="2498"/>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6"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6"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6"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406AF-3F73-2735-8B17-6BF1A16AB7B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5" customFormat="1" customHeight="1" ht="22.5" hidden="1">
      <c r="A2" s="839"/>
      <c r="B2" s="1374">
        <v>1</v>
      </c>
      <c r="C2" s="1374"/>
      <c r="D2" s="1933" t="s">
        <v>103</v>
      </c>
      <c r="E2" s="1909"/>
      <c r="F2" s="1911" t="str">
        <f>IF(ROIV_INFO_NAME="","",ROIV_INFO_NAME)</f>
        <v>АО "ДГК"</v>
      </c>
      <c r="G2" s="1739" t="s">
        <v>22</v>
      </c>
      <c r="H2" s="1921"/>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898"/>
      <c r="F3" s="256" t="s">
        <v>83</v>
      </c>
      <c r="G3" s="1742" t="s">
        <v>84</v>
      </c>
      <c r="H3" s="1898"/>
      <c r="I3" s="1898"/>
      <c r="J3" s="1898"/>
      <c r="K3" s="1898"/>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6" customFormat="1" customHeight="1" ht="14.699999999999998">
      <c r="A4" s="1639"/>
      <c r="B4" s="1374"/>
      <c r="C4" s="1639"/>
      <c r="D4" s="1523"/>
      <c r="E4" s="1643"/>
      <c r="F4" s="1643"/>
      <c r="G4" s="1643"/>
      <c r="H4" s="1643"/>
      <c r="I4" s="1643"/>
      <c r="J4" s="1643"/>
      <c r="K4" s="1643"/>
      <c r="L4" s="1900"/>
      <c r="M4" s="256"/>
      <c r="N4" s="1632"/>
      <c r="O4" s="1632"/>
      <c r="P4" s="1632"/>
      <c r="Q4" s="1632"/>
      <c r="R4" s="1632"/>
      <c r="S4" s="233"/>
      <c r="T4" s="233"/>
      <c r="U4" s="233"/>
      <c r="V4" s="233"/>
      <c r="IW4" s="1617">
        <v>14</v>
      </c>
    </row>
    <row s="1826" customFormat="1" customHeight="1" ht="27.299999999999997">
      <c r="A5" s="1639"/>
      <c r="B5" s="1374"/>
      <c r="C5" s="1639"/>
      <c r="D5" s="1523"/>
      <c r="E5" s="212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1"/>
      <c r="G5" s="2121"/>
      <c r="H5" s="2121"/>
      <c r="I5" s="2121"/>
      <c r="J5" s="2121"/>
      <c r="K5" s="2121"/>
      <c r="L5" s="1643"/>
      <c r="M5" s="256"/>
      <c r="N5" s="1632"/>
      <c r="O5" s="1632"/>
      <c r="P5" s="1632"/>
      <c r="Q5" s="1632"/>
      <c r="R5" s="1632"/>
      <c r="S5" s="233"/>
      <c r="T5" s="233"/>
      <c r="U5" s="233"/>
      <c r="V5" s="233"/>
      <c r="IW5" s="1617">
        <v>26</v>
      </c>
    </row>
    <row s="1826"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6" customFormat="1" customHeight="1" ht="14.699999999999998">
      <c r="A7" s="1639"/>
      <c r="B7" s="1374"/>
      <c r="C7" s="1639"/>
      <c r="D7" s="1523"/>
      <c r="E7" s="2122" t="s">
        <v>317</v>
      </c>
      <c r="F7" s="2123"/>
      <c r="G7" s="2123"/>
      <c r="H7" s="2123"/>
      <c r="I7" s="2123"/>
      <c r="J7" s="2123"/>
      <c r="K7" s="2123"/>
      <c r="L7" s="2495" t="s">
        <v>318</v>
      </c>
      <c r="M7" s="1632"/>
      <c r="N7" s="1632"/>
      <c r="O7" s="1632"/>
      <c r="P7" s="1632"/>
      <c r="Q7" s="1632"/>
      <c r="R7" s="1632"/>
      <c r="S7" s="233"/>
      <c r="T7" s="233"/>
      <c r="U7" s="233"/>
      <c r="V7" s="233"/>
      <c r="IW7" s="1617">
        <v>14</v>
      </c>
    </row>
    <row s="1826" customFormat="1" customHeight="1" ht="67.2">
      <c r="A8" s="1639"/>
      <c r="B8" s="1374"/>
      <c r="C8" s="1639"/>
      <c r="D8" s="1523"/>
      <c r="E8" s="2499" t="s">
        <v>88</v>
      </c>
      <c r="F8" s="2499" t="s">
        <v>2022</v>
      </c>
      <c r="G8" s="2501" t="s">
        <v>2023</v>
      </c>
      <c r="H8" s="2502"/>
      <c r="I8" s="2503"/>
      <c r="J8" s="2499" t="s">
        <v>2024</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7"/>
      <c r="M8" s="1632"/>
      <c r="N8" s="1632"/>
      <c r="O8" s="1632"/>
      <c r="P8" s="1632"/>
      <c r="Q8" s="1632"/>
      <c r="R8" s="1632"/>
      <c r="S8" s="233"/>
      <c r="T8" s="233"/>
      <c r="U8" s="233"/>
      <c r="V8" s="233"/>
      <c r="IW8" s="1617">
        <v>64</v>
      </c>
    </row>
    <row s="1826" customFormat="1" customHeight="1" ht="29.25">
      <c r="A9" s="1639"/>
      <c r="B9" s="1374"/>
      <c r="C9" s="1639"/>
      <c r="D9" s="1523"/>
      <c r="E9" s="2500"/>
      <c r="F9" s="2500"/>
      <c r="G9" s="1899" t="s">
        <v>2018</v>
      </c>
      <c r="H9" s="1899" t="s">
        <v>2019</v>
      </c>
      <c r="I9" s="1899" t="s">
        <v>2020</v>
      </c>
      <c r="J9" s="2500"/>
      <c r="K9" s="2500"/>
      <c r="L9" s="2496"/>
      <c r="M9" s="1632"/>
      <c r="N9" s="1632"/>
      <c r="O9" s="1632"/>
      <c r="P9" s="1632"/>
      <c r="Q9" s="1632"/>
      <c r="R9" s="1632"/>
      <c r="S9" s="233"/>
      <c r="T9" s="233"/>
      <c r="U9" s="233"/>
      <c r="V9" s="233"/>
      <c r="IW9" s="1617">
        <v>28</v>
      </c>
    </row>
    <row s="1855" customFormat="1" customHeight="1" ht="1.05">
      <c r="A10" s="2120"/>
      <c r="B10" s="1374">
        <v>1</v>
      </c>
      <c r="C10" s="1374"/>
      <c r="D10" s="808"/>
      <c r="E10" s="803">
        <v>0</v>
      </c>
      <c r="F10" s="1896" t="str">
        <f>IF(ROIV_INFO_NAME="","",ROIV_INFO_NAME)</f>
        <v>АО "ДГК"</v>
      </c>
      <c r="G10" s="1740" t="s">
        <v>22</v>
      </c>
      <c r="H10" s="1908"/>
      <c r="I10" s="1908"/>
      <c r="J10" s="527"/>
      <c r="K10" s="527"/>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5" customFormat="1" customHeight="1" ht="15.75">
      <c r="A11" s="2120"/>
      <c r="B11" s="1374"/>
      <c r="C11" s="420"/>
      <c r="D11" s="809"/>
      <c r="E11" s="429"/>
      <c r="F11" s="659" t="s">
        <v>2021</v>
      </c>
      <c r="G11" s="195"/>
      <c r="H11" s="195"/>
      <c r="I11" s="195"/>
      <c r="J11" s="195"/>
      <c r="K11" s="432"/>
      <c r="L11" s="2498"/>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6"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6"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6"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0D8FB-E0FB-11B4-0F2A-C05CFE123C9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47"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5" customFormat="1" customHeight="1" ht="22.5" hidden="1">
      <c r="A2" s="504"/>
      <c r="B2" s="1168">
        <v>1</v>
      </c>
      <c r="C2" s="1168"/>
      <c r="D2" s="1933" t="s">
        <v>103</v>
      </c>
      <c r="E2" s="2148">
        <v>1</v>
      </c>
      <c r="F2" s="2324" t="str">
        <f>IF(region_name="","",region_name)</f>
        <v>Амурская область</v>
      </c>
      <c r="G2" s="2504"/>
      <c r="H2" s="2505"/>
      <c r="I2" s="482"/>
      <c r="J2" s="1915">
        <v>1</v>
      </c>
      <c r="K2" s="1917"/>
      <c r="L2" s="1917"/>
      <c r="M2" s="1917"/>
      <c r="N2" s="500"/>
      <c r="O2" s="1543"/>
      <c r="P2" s="519"/>
      <c r="Q2" s="431">
        <v>0</v>
      </c>
    </row>
    <row s="1855" customFormat="1" customHeight="1" ht="22.5" hidden="1">
      <c r="A3" s="839"/>
      <c r="B3" s="1168"/>
      <c r="C3" s="1168"/>
      <c r="D3" s="809"/>
      <c r="E3" s="2148"/>
      <c r="F3" s="2324"/>
      <c r="G3" s="2504"/>
      <c r="H3" s="2506"/>
      <c r="I3" s="429"/>
      <c r="J3" s="1508"/>
      <c r="K3" s="1508" t="s">
        <v>2025</v>
      </c>
      <c r="L3" s="1551"/>
      <c r="M3" s="1925"/>
      <c r="N3" s="1918"/>
      <c r="O3" s="1543"/>
      <c r="P3" s="519"/>
      <c r="Q3" s="431">
        <v>0</v>
      </c>
    </row>
    <row s="1650" customFormat="1" customHeight="1" ht="5.25" hidden="1">
      <c r="A4" s="504"/>
      <c r="D4" s="502"/>
      <c r="F4" s="255" t="s">
        <v>83</v>
      </c>
      <c r="G4" s="502" t="s">
        <v>84</v>
      </c>
      <c r="H4" s="502"/>
      <c r="I4" s="1928"/>
      <c r="J4" s="1552"/>
      <c r="K4" s="1916"/>
      <c r="L4" s="1916"/>
      <c r="M4" s="1916"/>
      <c r="N4" s="1912"/>
      <c r="O4" s="255" t="s">
        <v>83</v>
      </c>
      <c r="P4" s="255"/>
      <c r="Q4" s="519">
        <v>0</v>
      </c>
    </row>
    <row s="1855" customFormat="1" customHeight="1" ht="22.5" hidden="1">
      <c r="A5" s="1649"/>
      <c r="B5" s="1374">
        <v>1</v>
      </c>
      <c r="C5" s="1374"/>
      <c r="D5" s="809"/>
      <c r="E5" s="1918"/>
      <c r="F5" s="1918"/>
      <c r="G5" s="1918"/>
      <c r="H5" s="1929"/>
      <c r="I5" s="1934" t="s">
        <v>103</v>
      </c>
      <c r="J5" s="1927">
        <v>1</v>
      </c>
      <c r="K5" s="1917"/>
      <c r="L5" s="1917"/>
      <c r="M5" s="1917"/>
      <c r="N5" s="500"/>
      <c r="O5" s="1543"/>
      <c r="P5" s="1644"/>
      <c r="Q5" s="632">
        <v>0</v>
      </c>
    </row>
    <row s="1826" customFormat="1" customHeight="1" ht="14.699999999999998">
      <c r="A6" s="1163"/>
      <c r="B6" s="1168"/>
      <c r="C6" s="1163"/>
      <c r="D6" s="1503"/>
      <c r="E6" s="517"/>
      <c r="F6" s="517"/>
      <c r="G6" s="517"/>
      <c r="H6" s="517"/>
      <c r="I6" s="517"/>
      <c r="J6" s="517"/>
      <c r="K6" s="517"/>
      <c r="L6" s="517"/>
      <c r="M6" s="517"/>
      <c r="N6" s="1643"/>
      <c r="O6" s="255"/>
      <c r="P6" s="508"/>
      <c r="Q6" s="515">
        <v>14</v>
      </c>
    </row>
    <row s="1826" customFormat="1" customHeight="1" ht="27.299999999999997">
      <c r="A7" s="1163"/>
      <c r="B7" s="1168"/>
      <c r="C7" s="1163"/>
      <c r="D7" s="1503"/>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60"/>
      <c r="O7" s="255"/>
      <c r="P7" s="508"/>
      <c r="Q7" s="515">
        <v>26</v>
      </c>
    </row>
    <row s="1826"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19"/>
      <c r="F9" s="1919"/>
      <c r="G9" s="1919"/>
      <c r="H9" s="1919"/>
      <c r="I9" s="2514"/>
      <c r="J9" s="2514"/>
      <c r="K9" s="2514"/>
      <c r="L9" s="1919"/>
      <c r="M9" s="1920"/>
      <c r="O9" s="1553"/>
      <c r="P9" s="1553"/>
      <c r="Q9" s="1554">
        <v>0</v>
      </c>
    </row>
    <row s="1826" customFormat="1" customHeight="1" ht="14.699999999999998">
      <c r="A10" s="1163"/>
      <c r="B10" s="1168"/>
      <c r="C10" s="1163"/>
      <c r="D10" s="1503"/>
      <c r="E10" s="2148" t="s">
        <v>317</v>
      </c>
      <c r="F10" s="2148"/>
      <c r="G10" s="2148"/>
      <c r="H10" s="2148"/>
      <c r="I10" s="2148"/>
      <c r="J10" s="2148"/>
      <c r="K10" s="2148"/>
      <c r="L10" s="2148"/>
      <c r="M10" s="2122"/>
      <c r="N10" s="2499" t="s">
        <v>318</v>
      </c>
      <c r="O10" s="508"/>
      <c r="P10" s="508"/>
      <c r="Q10" s="515">
        <v>14</v>
      </c>
    </row>
    <row s="1826" customFormat="1" customHeight="1" ht="44.25">
      <c r="A11" s="1639"/>
      <c r="B11" s="1374"/>
      <c r="C11" s="1639"/>
      <c r="D11" s="1523"/>
      <c r="E11" s="2513" t="s">
        <v>88</v>
      </c>
      <c r="F11" s="2513" t="s">
        <v>321</v>
      </c>
      <c r="G11" s="2513" t="s">
        <v>2026</v>
      </c>
      <c r="H11" s="2513"/>
      <c r="I11" s="2513" t="s">
        <v>2027</v>
      </c>
      <c r="J11" s="2513"/>
      <c r="K11" s="2513"/>
      <c r="L11" s="2513" t="s">
        <v>2028</v>
      </c>
      <c r="M11" s="2501" t="s">
        <v>2029</v>
      </c>
      <c r="N11" s="2512"/>
      <c r="O11" s="1632"/>
      <c r="P11" s="1632"/>
      <c r="Q11" s="1617">
        <v>42</v>
      </c>
    </row>
    <row s="1826" customFormat="1" customHeight="1" ht="29.25">
      <c r="A12" s="1163"/>
      <c r="B12" s="1168"/>
      <c r="C12" s="1163"/>
      <c r="D12" s="1503"/>
      <c r="E12" s="2499"/>
      <c r="F12" s="2513"/>
      <c r="G12" s="1914" t="s">
        <v>2030</v>
      </c>
      <c r="H12" s="1914" t="s">
        <v>325</v>
      </c>
      <c r="I12" s="2513"/>
      <c r="J12" s="2513"/>
      <c r="K12" s="2513"/>
      <c r="L12" s="2513"/>
      <c r="M12" s="2501"/>
      <c r="N12" s="2500"/>
      <c r="O12" s="508"/>
      <c r="P12" s="508"/>
      <c r="Q12" s="515">
        <v>28</v>
      </c>
    </row>
    <row s="1855" customFormat="1" customHeight="1" ht="23.25">
      <c r="A13" s="2120">
        <v>26379339</v>
      </c>
      <c r="B13" s="1168">
        <v>1</v>
      </c>
      <c r="C13" s="1168"/>
      <c r="D13" s="809"/>
      <c r="E13" s="2148">
        <v>1</v>
      </c>
      <c r="F13" s="2507" t="str">
        <f>IF(region_name="","",region_name)</f>
        <v>Амурская область</v>
      </c>
      <c r="G13" s="2508"/>
      <c r="H13" s="2515"/>
      <c r="I13" s="482"/>
      <c r="J13" s="1910">
        <v>1</v>
      </c>
      <c r="K13" s="1923"/>
      <c r="L13" s="1924"/>
      <c r="M13" s="1924"/>
      <c r="N13" s="2509" t="s">
        <v>2031</v>
      </c>
      <c r="O13" s="1543"/>
      <c r="P13" s="519"/>
      <c r="Q13" s="431">
        <v>22</v>
      </c>
    </row>
    <row s="1855" customFormat="1" customHeight="1" ht="23.25">
      <c r="A14" s="2120"/>
      <c r="B14" s="1168"/>
      <c r="C14" s="1168"/>
      <c r="D14" s="809"/>
      <c r="E14" s="2148"/>
      <c r="F14" s="2507"/>
      <c r="G14" s="2508"/>
      <c r="H14" s="2516"/>
      <c r="I14" s="429"/>
      <c r="J14" s="1508"/>
      <c r="K14" s="1508" t="s">
        <v>2025</v>
      </c>
      <c r="L14" s="1551"/>
      <c r="M14" s="1551"/>
      <c r="N14" s="2510"/>
      <c r="O14" s="1543"/>
      <c r="P14" s="519"/>
      <c r="Q14" s="431">
        <v>22</v>
      </c>
    </row>
    <row s="1855" customFormat="1" customHeight="1" ht="23.25">
      <c r="A15" s="2120"/>
      <c r="B15" s="1168"/>
      <c r="C15" s="420"/>
      <c r="D15" s="809"/>
      <c r="E15" s="429"/>
      <c r="F15" s="1508" t="s">
        <v>2017</v>
      </c>
      <c r="G15" s="1550"/>
      <c r="H15" s="1550"/>
      <c r="I15" s="195"/>
      <c r="J15" s="195"/>
      <c r="K15" s="195"/>
      <c r="L15" s="195"/>
      <c r="M15" s="195"/>
      <c r="N15" s="2510"/>
      <c r="O15" s="1544"/>
      <c r="P15" s="519"/>
      <c r="Q15" s="431">
        <v>22</v>
      </c>
    </row>
    <row s="1826" customFormat="1" customHeight="1" ht="22.049999999999997">
      <c r="A16" s="1163"/>
      <c r="B16" s="1168"/>
      <c r="C16" s="1163"/>
      <c r="D16" s="459"/>
      <c r="E16" s="188"/>
      <c r="F16" s="188"/>
      <c r="G16" s="188"/>
      <c r="H16" s="188"/>
      <c r="I16" s="188"/>
      <c r="J16" s="188"/>
      <c r="K16" s="188"/>
      <c r="L16" s="188"/>
      <c r="M16" s="517"/>
      <c r="N16" s="1643"/>
      <c r="O16" s="508"/>
      <c r="P16" s="508"/>
      <c r="Q16" s="515">
        <v>21</v>
      </c>
    </row>
    <row s="1826"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6"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A13E6-718A-07AE-E8E7-4AF6955FBCE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0" width="9.140625" hidden="1"/>
    <col min="3" max="3" style="128"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21" t="s">
        <v>2032</v>
      </c>
      <c r="E5" s="2121"/>
      <c r="F5" s="2121"/>
      <c r="G5" s="2121"/>
      <c r="H5" s="2121"/>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30" t="s">
        <v>317</v>
      </c>
      <c r="E8" s="2230"/>
      <c r="F8" s="2230"/>
      <c r="G8" s="2230"/>
      <c r="H8" s="2230"/>
      <c r="I8" s="2230" t="s">
        <v>318</v>
      </c>
      <c r="M8" s="129">
        <v>14</v>
      </c>
    </row>
    <row customHeight="1" ht="29.25">
      <c r="D9" s="2230" t="s">
        <v>88</v>
      </c>
      <c r="E9" s="2230" t="s">
        <v>2033</v>
      </c>
      <c r="F9" s="2230"/>
      <c r="G9" s="2230"/>
      <c r="H9" s="2230"/>
      <c r="I9" s="2230"/>
      <c r="M9" s="129">
        <v>28</v>
      </c>
    </row>
    <row customHeight="1" ht="24">
      <c r="D10" s="2230"/>
      <c r="E10" s="135" t="s">
        <v>2034</v>
      </c>
      <c r="F10" s="135" t="s">
        <v>2035</v>
      </c>
      <c r="G10" s="135" t="s">
        <v>2036</v>
      </c>
      <c r="H10" s="135" t="s">
        <v>407</v>
      </c>
      <c r="I10" s="2230"/>
      <c r="M10" s="129">
        <v>23</v>
      </c>
    </row>
    <row customHeight="1" ht="12" hidden="1">
      <c r="D11" s="95" t="s">
        <v>118</v>
      </c>
      <c r="E11" s="95" t="s">
        <v>91</v>
      </c>
      <c r="F11" s="95" t="s">
        <v>119</v>
      </c>
      <c r="G11" s="95" t="s">
        <v>92</v>
      </c>
      <c r="H11" s="95" t="s">
        <v>93</v>
      </c>
      <c r="I11" s="95" t="s">
        <v>120</v>
      </c>
      <c r="M11" s="129">
        <v>0</v>
      </c>
    </row>
    <row s="1830" customFormat="1" customHeight="1" ht="26.25">
      <c r="A12" s="153" t="s">
        <v>90</v>
      </c>
      <c r="B12" s="133" t="s">
        <v>22</v>
      </c>
      <c r="C12" s="134"/>
      <c r="D12" s="136" t="s">
        <v>118</v>
      </c>
      <c r="E12" s="389"/>
      <c r="F12" s="389"/>
      <c r="G12" s="1741" t="s">
        <v>22</v>
      </c>
      <c r="H12" s="390"/>
      <c r="I12" s="2190" t="s">
        <v>2037</v>
      </c>
      <c r="K12" s="280"/>
      <c r="L12" s="281"/>
      <c r="M12" s="125">
        <v>25</v>
      </c>
    </row>
    <row customHeight="1" ht="15.75">
      <c r="A13" s="129"/>
      <c r="B13" s="129"/>
      <c r="C13" s="129"/>
      <c r="D13" s="117"/>
      <c r="E13" s="138" t="s">
        <v>485</v>
      </c>
      <c r="F13" s="137"/>
      <c r="G13" s="137"/>
      <c r="H13" s="222"/>
      <c r="I13" s="2192"/>
      <c r="M13" s="129">
        <v>15</v>
      </c>
    </row>
    <row customHeight="1" ht="3">
      <c r="A14" s="129"/>
      <c r="B14" s="129"/>
      <c r="C14" s="129"/>
      <c r="M14" s="129">
        <v>3</v>
      </c>
    </row>
    <row customHeight="1" ht="29.25">
      <c r="E15" s="2517" t="s">
        <v>2038</v>
      </c>
      <c r="F15" s="2517"/>
      <c r="G15" s="2517"/>
      <c r="H15" s="2517"/>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1B47-8157-083C-49EF-115F684C44D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18" t="s">
        <v>2039</v>
      </c>
      <c r="E7" s="2519"/>
      <c r="F7" s="275"/>
      <c r="J7" s="77">
        <v>22</v>
      </c>
    </row>
    <row customHeight="1" ht="3">
      <c r="C8" s="100"/>
      <c r="D8" s="78"/>
      <c r="E8" s="78"/>
      <c r="J8" s="77">
        <v>3</v>
      </c>
    </row>
    <row customHeight="1" ht="16.8">
      <c r="C9" s="100"/>
      <c r="D9" s="113" t="s">
        <v>88</v>
      </c>
      <c r="E9" s="268" t="s">
        <v>2040</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2041</v>
      </c>
      <c r="J13" s="77">
        <v>12</v>
      </c>
    </row>
    <row customHeight="1" ht="3">
      <c r="J14" s="77">
        <v>3</v>
      </c>
    </row>
    <row customHeight="1" ht="23.25">
      <c r="C15" s="145"/>
      <c r="D15" s="2520" t="s">
        <v>2042</v>
      </c>
      <c r="E15" s="2520"/>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44AEA-A019-0428-E752-77FC37D29DCA}" mc:Ignorable="x14ac xr xr2 xr3">
  <sheetPr>
    <tabColor rgb="FFCCCCFF"/>
    <pageSetUpPr fitToPage="1"/>
  </sheetPr>
  <dimension ref="A1:M22"/>
  <sheetViews>
    <sheetView topLeftCell="C6" showGridLines="0" workbookViewId="0" tabSelected="1">
      <selection activeCell="E20" sqref="E20"/>
    </sheetView>
  </sheetViews>
  <sheetFormatPr defaultColWidth="9.140625" customHeight="1" defaultRowHeight="14.25"/>
  <cols>
    <col min="1" max="2" style="272" width="9.140625" hidden="1"/>
    <col min="3" max="3" style="99" width="3.00390625" customWidth="1"/>
    <col min="4" max="4" style="272" width="6.00390625" customWidth="1"/>
    <col min="5" max="5" style="272" width="204.8515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21" t="s">
        <v>2043</v>
      </c>
      <c r="E7" s="2121"/>
      <c r="F7" s="275"/>
      <c r="M7" s="77">
        <v>22</v>
      </c>
    </row>
    <row customHeight="1" ht="3">
      <c r="C8" s="100"/>
      <c r="D8" s="78"/>
      <c r="E8" s="78"/>
      <c r="M8" s="77">
        <v>3</v>
      </c>
    </row>
    <row customHeight="1" ht="16.8">
      <c r="C9" s="100"/>
      <c r="D9" s="113" t="s">
        <v>88</v>
      </c>
      <c r="E9" s="116" t="s">
        <v>304</v>
      </c>
      <c r="M9" s="77">
        <v>16</v>
      </c>
    </row>
    <row customHeight="1" ht="12.75">
      <c r="C10" s="100"/>
      <c r="D10" s="95" t="s">
        <v>118</v>
      </c>
      <c r="E10" s="95" t="s">
        <v>102</v>
      </c>
      <c r="M10" s="77">
        <v>12</v>
      </c>
    </row>
    <row customHeight="1" ht="15" hidden="1">
      <c r="C11" s="100"/>
      <c r="D11" s="121">
        <v>0</v>
      </c>
      <c r="E11" s="157"/>
      <c r="M11" s="77">
        <v>0</v>
      </c>
    </row>
    <row customHeight="1" ht="90.75">
      <c r="A12" s="272"/>
      <c r="B12" s="272"/>
      <c r="C12" s="1824" t="s">
        <v>103</v>
      </c>
      <c r="D12" s="121" t="s">
        <v>118</v>
      </c>
      <c r="E12" s="122" t="s">
        <v>2044</v>
      </c>
      <c r="F12" s="272"/>
      <c r="G12" s="272"/>
      <c r="H12" s="272"/>
      <c r="I12" s="272"/>
      <c r="J12" s="272"/>
      <c r="K12" s="272"/>
      <c r="L12" s="272"/>
      <c r="M12" s="272"/>
    </row>
    <row customHeight="1" ht="35.25">
      <c r="A13" s="272"/>
      <c r="B13" s="272"/>
      <c r="C13" s="1824" t="s">
        <v>103</v>
      </c>
      <c r="D13" s="121" t="s">
        <v>102</v>
      </c>
      <c r="E13" s="122" t="s">
        <v>2045</v>
      </c>
      <c r="F13" s="272"/>
      <c r="G13" s="272"/>
      <c r="H13" s="272"/>
      <c r="I13" s="272"/>
      <c r="J13" s="272"/>
      <c r="K13" s="272"/>
      <c r="L13" s="272"/>
      <c r="M13" s="272"/>
    </row>
    <row customHeight="1" ht="41.25">
      <c r="A14" s="272"/>
      <c r="B14" s="272"/>
      <c r="C14" s="1824" t="s">
        <v>103</v>
      </c>
      <c r="D14" s="121" t="s">
        <v>90</v>
      </c>
      <c r="E14" s="122" t="s">
        <v>2046</v>
      </c>
      <c r="F14" s="272"/>
      <c r="G14" s="272"/>
      <c r="H14" s="272"/>
      <c r="I14" s="272"/>
      <c r="J14" s="272"/>
      <c r="K14" s="272"/>
      <c r="L14" s="272"/>
      <c r="M14" s="272"/>
    </row>
    <row customHeight="1" ht="45.75">
      <c r="A15" s="272"/>
      <c r="B15" s="272"/>
      <c r="C15" s="1824" t="s">
        <v>103</v>
      </c>
      <c r="D15" s="121" t="s">
        <v>91</v>
      </c>
      <c r="E15" s="122" t="s">
        <v>2047</v>
      </c>
      <c r="F15" s="272"/>
      <c r="G15" s="272"/>
      <c r="H15" s="272"/>
      <c r="I15" s="272"/>
      <c r="J15" s="272"/>
      <c r="K15" s="272"/>
      <c r="L15" s="272"/>
      <c r="M15" s="272"/>
    </row>
    <row customHeight="1" ht="42">
      <c r="A16" s="272"/>
      <c r="B16" s="272"/>
      <c r="C16" s="1824" t="s">
        <v>103</v>
      </c>
      <c r="D16" s="121" t="s">
        <v>119</v>
      </c>
      <c r="E16" s="122" t="s">
        <v>2048</v>
      </c>
      <c r="F16" s="272"/>
      <c r="G16" s="272"/>
      <c r="H16" s="272"/>
      <c r="I16" s="272"/>
      <c r="J16" s="272"/>
      <c r="K16" s="272"/>
      <c r="L16" s="272"/>
      <c r="M16" s="272"/>
    </row>
    <row customHeight="1" ht="60.75">
      <c r="A17" s="272"/>
      <c r="B17" s="272"/>
      <c r="C17" s="1824" t="s">
        <v>103</v>
      </c>
      <c r="D17" s="121" t="s">
        <v>92</v>
      </c>
      <c r="E17" s="122" t="s">
        <v>2049</v>
      </c>
      <c r="F17" s="272"/>
      <c r="G17" s="272"/>
      <c r="H17" s="272"/>
      <c r="I17" s="272"/>
      <c r="J17" s="272"/>
      <c r="K17" s="272"/>
      <c r="L17" s="272"/>
      <c r="M17" s="272"/>
    </row>
    <row customHeight="1" ht="33">
      <c r="A18" s="272"/>
      <c r="B18" s="272"/>
      <c r="C18" s="1824" t="s">
        <v>103</v>
      </c>
      <c r="D18" s="121" t="s">
        <v>93</v>
      </c>
      <c r="E18" s="122" t="s">
        <v>2050</v>
      </c>
      <c r="F18" s="272"/>
      <c r="G18" s="272"/>
      <c r="H18" s="272"/>
      <c r="I18" s="272"/>
      <c r="J18" s="272"/>
      <c r="K18" s="272"/>
      <c r="L18" s="272"/>
      <c r="M18" s="272"/>
    </row>
    <row customHeight="1" ht="17.25">
      <c r="A19" s="272"/>
      <c r="B19" s="272"/>
      <c r="C19" s="1824" t="s">
        <v>103</v>
      </c>
      <c r="D19" s="121" t="s">
        <v>120</v>
      </c>
      <c r="E19" s="122" t="s">
        <v>2051</v>
      </c>
      <c r="F19" s="272"/>
      <c r="G19" s="272"/>
      <c r="H19" s="272"/>
      <c r="I19" s="272"/>
      <c r="J19" s="272"/>
      <c r="K19" s="272"/>
      <c r="L19" s="272"/>
      <c r="M19" s="272"/>
    </row>
    <row customHeight="1" ht="42.75">
      <c r="A20" s="272"/>
      <c r="B20" s="272"/>
      <c r="C20" s="1824" t="s">
        <v>103</v>
      </c>
      <c r="D20" s="121" t="s">
        <v>167</v>
      </c>
      <c r="E20" s="122" t="s">
        <v>2052</v>
      </c>
      <c r="F20" s="272"/>
      <c r="G20" s="272"/>
      <c r="H20" s="272"/>
      <c r="I20" s="272"/>
      <c r="J20" s="272"/>
      <c r="K20" s="272"/>
      <c r="L20" s="272"/>
      <c r="M20" s="272"/>
    </row>
    <row customHeight="1" ht="14.699999999999998">
      <c r="C21" s="100"/>
      <c r="D21" s="117"/>
      <c r="E21" s="115" t="s">
        <v>2041</v>
      </c>
      <c r="M21" s="77">
        <v>14</v>
      </c>
    </row>
    <row customHeight="1" ht="14.25" hidden="1">
      <c r="A22" s="77" t="s">
        <v>82</v>
      </c>
      <c r="B22" s="77">
        <v>0</v>
      </c>
      <c r="C22" s="99">
        <v>3</v>
      </c>
      <c r="D22" s="77">
        <v>6</v>
      </c>
      <c r="E22" s="77">
        <v>94</v>
      </c>
      <c r="F22" s="77">
        <v>8</v>
      </c>
      <c r="G22" s="77">
        <v>8</v>
      </c>
      <c r="H22" s="77">
        <v>8</v>
      </c>
      <c r="I22" s="77">
        <v>8</v>
      </c>
      <c r="J22" s="77">
        <v>8</v>
      </c>
      <c r="K22" s="77">
        <v>8</v>
      </c>
      <c r="L22" s="77">
        <v>8</v>
      </c>
      <c r="M22" s="77">
        <v>14</v>
      </c>
    </row>
  </sheetData>
  <sheetProtection sheet="1" formatColumns="0" formatRows="0" autoFilter="0" sort="1" insertRows="1" insertColumns="1" deleteRows="1" deleteColumns="1"/>
  <mergeCells count="1">
    <mergeCell ref="D7:E7"/>
  </mergeCells>
  <dataValidations count="10">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44421-A508-C633-6F0D-7E04E34B589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6" width="8.00390625" customWidth="1"/>
    <col min="38" max="64" style="1855" width="8.00390625" customWidth="1"/>
    <col min="65" max="65" style="1855"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296</v>
      </c>
      <c r="M2" s="1561" t="s">
        <v>297</v>
      </c>
      <c r="R2" s="1561" t="s">
        <v>298</v>
      </c>
      <c r="S2" s="1561" t="s">
        <v>297</v>
      </c>
      <c r="X2" s="1561" t="s">
        <v>296</v>
      </c>
      <c r="Y2" s="1561" t="s">
        <v>297</v>
      </c>
      <c r="AD2" s="1561" t="s">
        <v>296</v>
      </c>
      <c r="AE2" s="1561" t="s">
        <v>297</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6" customFormat="1" customHeight="1" ht="34.5">
      <c r="A4" s="1164"/>
      <c r="B4" s="1163"/>
      <c r="C4" s="1523"/>
      <c r="D4" s="2212" t="s">
        <v>299</v>
      </c>
      <c r="E4" s="2212"/>
      <c r="F4" s="2212"/>
      <c r="G4" s="2212"/>
      <c r="H4" s="2212"/>
      <c r="I4" s="2212"/>
      <c r="J4" s="2212"/>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6" customFormat="1" customHeight="1" ht="14.699999999999998">
      <c r="A5" s="1640"/>
      <c r="B5" s="1639"/>
      <c r="C5" s="1523"/>
      <c r="D5" s="2197" t="str">
        <f>IF(org=0,"Не определено",org)</f>
        <v>АО "ДГК"</v>
      </c>
      <c r="E5" s="2197"/>
      <c r="F5" s="2197"/>
      <c r="G5" s="2197"/>
      <c r="H5" s="2197"/>
      <c r="I5" s="2197"/>
      <c r="J5" s="2197"/>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6"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48" t="s">
        <v>88</v>
      </c>
      <c r="E8" s="2148" t="s">
        <v>114</v>
      </c>
      <c r="F8" s="2213" t="s">
        <v>141</v>
      </c>
      <c r="G8" s="2214"/>
      <c r="H8" s="2213" t="s">
        <v>88</v>
      </c>
      <c r="I8" s="2214"/>
      <c r="J8" s="2148" t="s">
        <v>142</v>
      </c>
      <c r="K8" s="1564"/>
      <c r="L8" s="2217" t="s">
        <v>300</v>
      </c>
      <c r="M8" s="2217"/>
      <c r="N8" s="2217"/>
      <c r="O8" s="2217"/>
      <c r="P8" s="2217"/>
      <c r="Q8" s="1565"/>
      <c r="R8" s="2117" t="s">
        <v>301</v>
      </c>
      <c r="S8" s="2218"/>
      <c r="T8" s="2218"/>
      <c r="U8" s="2218"/>
      <c r="V8" s="2218"/>
      <c r="W8" s="1565"/>
      <c r="X8" s="2219" t="s">
        <v>302</v>
      </c>
      <c r="Y8" s="2219"/>
      <c r="Z8" s="2219"/>
      <c r="AA8" s="2219"/>
      <c r="AB8" s="2219"/>
      <c r="AC8" s="1566"/>
      <c r="AD8" s="2148" t="s">
        <v>303</v>
      </c>
      <c r="AE8" s="2148"/>
      <c r="AF8" s="2148"/>
      <c r="AG8" s="2148"/>
      <c r="AH8" s="2122"/>
      <c r="AI8" s="2148" t="s">
        <v>304</v>
      </c>
      <c r="AJ8" s="1582"/>
      <c r="BM8" s="301">
        <v>32</v>
      </c>
    </row>
    <row customHeight="1" ht="23.25">
      <c r="D9" s="2148"/>
      <c r="E9" s="2148"/>
      <c r="F9" s="2196" t="s">
        <v>89</v>
      </c>
      <c r="G9" s="2196" t="s">
        <v>147</v>
      </c>
      <c r="H9" s="2215"/>
      <c r="I9" s="2216"/>
      <c r="J9" s="2122"/>
      <c r="K9" s="1567"/>
      <c r="L9" s="2148" t="s">
        <v>305</v>
      </c>
      <c r="M9" s="2122"/>
      <c r="N9" s="2213" t="s">
        <v>88</v>
      </c>
      <c r="O9" s="2214"/>
      <c r="P9" s="2148" t="s">
        <v>148</v>
      </c>
      <c r="Q9" s="1564"/>
      <c r="R9" s="2148" t="s">
        <v>305</v>
      </c>
      <c r="S9" s="2122"/>
      <c r="T9" s="2213" t="s">
        <v>88</v>
      </c>
      <c r="U9" s="2214"/>
      <c r="V9" s="2148" t="s">
        <v>148</v>
      </c>
      <c r="W9" s="1564"/>
      <c r="X9" s="2148" t="s">
        <v>305</v>
      </c>
      <c r="Y9" s="2122"/>
      <c r="Z9" s="2213" t="s">
        <v>88</v>
      </c>
      <c r="AA9" s="2214"/>
      <c r="AB9" s="2148" t="s">
        <v>306</v>
      </c>
      <c r="AC9" s="1564"/>
      <c r="AD9" s="2148" t="s">
        <v>305</v>
      </c>
      <c r="AE9" s="2122"/>
      <c r="AF9" s="2213" t="s">
        <v>88</v>
      </c>
      <c r="AG9" s="2214"/>
      <c r="AH9" s="2122" t="s">
        <v>306</v>
      </c>
      <c r="AI9" s="2148"/>
      <c r="AJ9" s="1582"/>
      <c r="BM9" s="301">
        <v>22</v>
      </c>
    </row>
    <row customHeight="1" ht="24">
      <c r="D10" s="2196"/>
      <c r="E10" s="2196"/>
      <c r="F10" s="2220"/>
      <c r="G10" s="2220"/>
      <c r="H10" s="2221"/>
      <c r="I10" s="2222"/>
      <c r="J10" s="2213"/>
      <c r="K10" s="1567"/>
      <c r="L10" s="1586" t="s">
        <v>307</v>
      </c>
      <c r="M10" s="1581" t="s">
        <v>308</v>
      </c>
      <c r="N10" s="2215"/>
      <c r="O10" s="2216"/>
      <c r="P10" s="2196"/>
      <c r="Q10" s="1564"/>
      <c r="R10" s="1586" t="s">
        <v>307</v>
      </c>
      <c r="S10" s="1581" t="s">
        <v>308</v>
      </c>
      <c r="T10" s="2215"/>
      <c r="U10" s="2216"/>
      <c r="V10" s="2196"/>
      <c r="W10" s="1564"/>
      <c r="X10" s="1586" t="s">
        <v>307</v>
      </c>
      <c r="Y10" s="1581" t="s">
        <v>308</v>
      </c>
      <c r="Z10" s="2215"/>
      <c r="AA10" s="2216"/>
      <c r="AB10" s="2196"/>
      <c r="AC10" s="1564"/>
      <c r="AD10" s="1586" t="s">
        <v>307</v>
      </c>
      <c r="AE10" s="1581" t="s">
        <v>308</v>
      </c>
      <c r="AF10" s="2215"/>
      <c r="AG10" s="2216"/>
      <c r="AH10" s="2213"/>
      <c r="AI10" s="2196"/>
      <c r="AJ10" s="1582"/>
      <c r="AK10" s="262" t="s">
        <v>309</v>
      </c>
      <c r="AL10" s="262" t="s">
        <v>149</v>
      </c>
      <c r="BM10" s="301">
        <v>23</v>
      </c>
    </row>
    <row customHeight="1" ht="15">
      <c r="D11" s="2204" t="s">
        <v>118</v>
      </c>
      <c r="E11" s="2200" t="s">
        <v>310</v>
      </c>
      <c r="F11" s="2200" t="s">
        <v>311</v>
      </c>
      <c r="G11" s="2206" t="s">
        <v>19</v>
      </c>
      <c r="H11" s="1607"/>
      <c r="I11" s="2202"/>
      <c r="J11" s="2173"/>
      <c r="K11" s="1522"/>
      <c r="L11" s="2158"/>
      <c r="M11" s="2158"/>
      <c r="N11" s="1592"/>
      <c r="O11" s="2158"/>
      <c r="P11" s="2173"/>
      <c r="Q11" s="1593"/>
      <c r="R11" s="2158"/>
      <c r="S11" s="2158"/>
      <c r="T11" s="1594"/>
      <c r="U11" s="2158"/>
      <c r="V11" s="2173"/>
      <c r="W11" s="1595"/>
      <c r="X11" s="2158"/>
      <c r="Y11" s="2158"/>
      <c r="Z11" s="1592"/>
      <c r="AA11" s="2158"/>
      <c r="AB11" s="2173"/>
      <c r="AC11" s="1596"/>
      <c r="AD11" s="2158"/>
      <c r="AE11" s="2158"/>
      <c r="AF11" s="1521"/>
      <c r="AG11" s="1521"/>
      <c r="AH11" s="1597"/>
      <c r="AI11" s="1304"/>
      <c r="AJ11" s="1582"/>
      <c r="BM11" s="301">
        <v>14</v>
      </c>
    </row>
    <row customHeight="1" ht="14.699999999999998">
      <c r="D12" s="2204"/>
      <c r="E12" s="2200"/>
      <c r="F12" s="2200"/>
      <c r="G12" s="2207"/>
      <c r="H12" s="1608"/>
      <c r="I12" s="2203"/>
      <c r="J12" s="2174"/>
      <c r="K12" s="1618"/>
      <c r="L12" s="2159"/>
      <c r="M12" s="2159"/>
      <c r="N12" s="1598"/>
      <c r="O12" s="2159"/>
      <c r="P12" s="2174"/>
      <c r="Q12" s="1599"/>
      <c r="R12" s="2159"/>
      <c r="S12" s="2159"/>
      <c r="T12" s="1600"/>
      <c r="U12" s="2159"/>
      <c r="V12" s="2174"/>
      <c r="W12" s="1601"/>
      <c r="X12" s="2159"/>
      <c r="Y12" s="2159"/>
      <c r="Z12" s="1598"/>
      <c r="AA12" s="2159"/>
      <c r="AB12" s="2174"/>
      <c r="AC12" s="1602"/>
      <c r="AD12" s="2159"/>
      <c r="AE12" s="2159"/>
      <c r="AF12" s="1603"/>
      <c r="AG12" s="1603"/>
      <c r="AH12" s="2198"/>
      <c r="AI12" s="2199"/>
      <c r="AJ12" s="1582"/>
      <c r="BM12" s="301">
        <v>14</v>
      </c>
    </row>
    <row customHeight="1" ht="14.699999999999998">
      <c r="D13" s="2204"/>
      <c r="E13" s="2200"/>
      <c r="F13" s="2200"/>
      <c r="G13" s="2207"/>
      <c r="H13" s="1608"/>
      <c r="I13" s="2203"/>
      <c r="J13" s="2174"/>
      <c r="K13" s="1618"/>
      <c r="L13" s="2159"/>
      <c r="M13" s="2159"/>
      <c r="N13" s="1598"/>
      <c r="O13" s="2159"/>
      <c r="P13" s="2174"/>
      <c r="Q13" s="1599"/>
      <c r="R13" s="2159"/>
      <c r="S13" s="2159"/>
      <c r="T13" s="1600"/>
      <c r="U13" s="2159"/>
      <c r="V13" s="2174"/>
      <c r="W13" s="1601"/>
      <c r="X13" s="2159"/>
      <c r="Y13" s="2159"/>
      <c r="Z13" s="1520"/>
      <c r="AA13" s="1603"/>
      <c r="AB13" s="2198"/>
      <c r="AC13" s="2198"/>
      <c r="AD13" s="2198"/>
      <c r="AE13" s="2198"/>
      <c r="AF13" s="2198"/>
      <c r="AG13" s="2198"/>
      <c r="AH13" s="2198"/>
      <c r="AI13" s="2199"/>
      <c r="AJ13" s="1582"/>
      <c r="BM13" s="301">
        <v>14</v>
      </c>
    </row>
    <row customHeight="1" ht="14.699999999999998">
      <c r="D14" s="2204"/>
      <c r="E14" s="2200"/>
      <c r="F14" s="2200"/>
      <c r="G14" s="2207"/>
      <c r="H14" s="1608"/>
      <c r="I14" s="2203"/>
      <c r="J14" s="2174"/>
      <c r="K14" s="1618"/>
      <c r="L14" s="2159"/>
      <c r="M14" s="2159"/>
      <c r="N14" s="1598"/>
      <c r="O14" s="2159"/>
      <c r="P14" s="2174"/>
      <c r="Q14" s="1599"/>
      <c r="R14" s="2159"/>
      <c r="S14" s="2159"/>
      <c r="T14" s="1604"/>
      <c r="U14" s="1605"/>
      <c r="V14" s="2198"/>
      <c r="W14" s="2198"/>
      <c r="X14" s="2198"/>
      <c r="Y14" s="2198"/>
      <c r="Z14" s="2198"/>
      <c r="AA14" s="2198"/>
      <c r="AB14" s="2198"/>
      <c r="AC14" s="2198"/>
      <c r="AD14" s="2198"/>
      <c r="AE14" s="2198"/>
      <c r="AF14" s="2198"/>
      <c r="AG14" s="2198"/>
      <c r="AH14" s="2198"/>
      <c r="AI14" s="2199"/>
      <c r="AJ14" s="1582"/>
      <c r="BM14" s="301">
        <v>14</v>
      </c>
    </row>
    <row customHeight="1" ht="11.549999999999999">
      <c r="D15" s="2204"/>
      <c r="E15" s="2200"/>
      <c r="F15" s="2200"/>
      <c r="G15" s="2207"/>
      <c r="H15" s="1609"/>
      <c r="I15" s="2203"/>
      <c r="J15" s="2174"/>
      <c r="K15" s="1618"/>
      <c r="L15" s="2159"/>
      <c r="M15" s="2159"/>
      <c r="N15" s="1603"/>
      <c r="O15" s="1603"/>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82"/>
      <c r="BM15" s="301">
        <v>11</v>
      </c>
    </row>
    <row s="1562" customFormat="1" customHeight="1" ht="11.549999999999999">
      <c r="D16" s="2210"/>
      <c r="E16" s="2211"/>
      <c r="F16" s="2201"/>
      <c r="G16" s="2133"/>
      <c r="H16" s="1606"/>
      <c r="I16" s="1610"/>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204" t="s">
        <v>102</v>
      </c>
      <c r="E17" s="2200" t="s">
        <v>310</v>
      </c>
      <c r="F17" s="2200" t="s">
        <v>312</v>
      </c>
      <c r="G17" s="2206" t="s">
        <v>19</v>
      </c>
      <c r="H17" s="1607"/>
      <c r="I17" s="2202"/>
      <c r="J17" s="2173"/>
      <c r="K17" s="1522"/>
      <c r="L17" s="2158"/>
      <c r="M17" s="2158"/>
      <c r="N17" s="1592"/>
      <c r="O17" s="2158"/>
      <c r="P17" s="2173"/>
      <c r="Q17" s="1593"/>
      <c r="R17" s="2158"/>
      <c r="S17" s="2158"/>
      <c r="T17" s="1594"/>
      <c r="U17" s="2158"/>
      <c r="V17" s="2173"/>
      <c r="W17" s="1595"/>
      <c r="X17" s="2158"/>
      <c r="Y17" s="2158"/>
      <c r="Z17" s="1592"/>
      <c r="AA17" s="2158"/>
      <c r="AB17" s="2173"/>
      <c r="AC17" s="1596"/>
      <c r="AD17" s="2158"/>
      <c r="AE17" s="2158"/>
      <c r="AF17" s="1521"/>
      <c r="AG17" s="1521"/>
      <c r="AH17" s="1597"/>
      <c r="AI17" s="1304"/>
      <c r="AJ17" s="1582"/>
      <c r="BM17" s="301">
        <v>14</v>
      </c>
    </row>
    <row customHeight="1" ht="14.699999999999998">
      <c r="D18" s="2204"/>
      <c r="E18" s="2200"/>
      <c r="F18" s="2200"/>
      <c r="G18" s="2207"/>
      <c r="H18" s="1608"/>
      <c r="I18" s="2203"/>
      <c r="J18" s="2174"/>
      <c r="K18" s="1591"/>
      <c r="L18" s="2159"/>
      <c r="M18" s="2159"/>
      <c r="N18" s="1598"/>
      <c r="O18" s="2159"/>
      <c r="P18" s="2174"/>
      <c r="Q18" s="1599"/>
      <c r="R18" s="2159"/>
      <c r="S18" s="2159"/>
      <c r="T18" s="1600"/>
      <c r="U18" s="2159"/>
      <c r="V18" s="2174"/>
      <c r="W18" s="1601"/>
      <c r="X18" s="2159"/>
      <c r="Y18" s="2159"/>
      <c r="Z18" s="1598"/>
      <c r="AA18" s="2159"/>
      <c r="AB18" s="2174"/>
      <c r="AC18" s="1602"/>
      <c r="AD18" s="2159"/>
      <c r="AE18" s="2159"/>
      <c r="AF18" s="1603"/>
      <c r="AG18" s="1603"/>
      <c r="AH18" s="2198"/>
      <c r="AI18" s="2199"/>
      <c r="AJ18" s="1582"/>
      <c r="BM18" s="301">
        <v>14</v>
      </c>
    </row>
    <row customHeight="1" ht="14.699999999999998">
      <c r="D19" s="2204"/>
      <c r="E19" s="2200"/>
      <c r="F19" s="2200"/>
      <c r="G19" s="2207"/>
      <c r="H19" s="1608"/>
      <c r="I19" s="2203"/>
      <c r="J19" s="2174"/>
      <c r="K19" s="1591"/>
      <c r="L19" s="2159"/>
      <c r="M19" s="2159"/>
      <c r="N19" s="1598"/>
      <c r="O19" s="2159"/>
      <c r="P19" s="2174"/>
      <c r="Q19" s="1599"/>
      <c r="R19" s="2159"/>
      <c r="S19" s="2159"/>
      <c r="T19" s="1600"/>
      <c r="U19" s="2159"/>
      <c r="V19" s="2174"/>
      <c r="W19" s="1601"/>
      <c r="X19" s="2159"/>
      <c r="Y19" s="2159"/>
      <c r="Z19" s="1520"/>
      <c r="AA19" s="1603"/>
      <c r="AB19" s="2198"/>
      <c r="AC19" s="2198"/>
      <c r="AD19" s="2198"/>
      <c r="AE19" s="2198"/>
      <c r="AF19" s="2198"/>
      <c r="AG19" s="2198"/>
      <c r="AH19" s="2198"/>
      <c r="AI19" s="2199"/>
      <c r="AJ19" s="1582"/>
      <c r="BM19" s="301">
        <v>14</v>
      </c>
    </row>
    <row customHeight="1" ht="14.699999999999998">
      <c r="D20" s="2204"/>
      <c r="E20" s="2200"/>
      <c r="F20" s="2200"/>
      <c r="G20" s="2207"/>
      <c r="H20" s="1608"/>
      <c r="I20" s="2203"/>
      <c r="J20" s="2174"/>
      <c r="K20" s="1591"/>
      <c r="L20" s="2159"/>
      <c r="M20" s="2159"/>
      <c r="N20" s="1598"/>
      <c r="O20" s="2159"/>
      <c r="P20" s="2174"/>
      <c r="Q20" s="1599"/>
      <c r="R20" s="2159"/>
      <c r="S20" s="2159"/>
      <c r="T20" s="1604"/>
      <c r="U20" s="1605"/>
      <c r="V20" s="2198"/>
      <c r="W20" s="2198"/>
      <c r="X20" s="2198"/>
      <c r="Y20" s="2198"/>
      <c r="Z20" s="2198"/>
      <c r="AA20" s="2198"/>
      <c r="AB20" s="2198"/>
      <c r="AC20" s="2198"/>
      <c r="AD20" s="2198"/>
      <c r="AE20" s="2198"/>
      <c r="AF20" s="2198"/>
      <c r="AG20" s="2198"/>
      <c r="AH20" s="2198"/>
      <c r="AI20" s="2199"/>
      <c r="AJ20" s="1582"/>
      <c r="BM20" s="301">
        <v>14</v>
      </c>
    </row>
    <row customHeight="1" ht="11.549999999999999">
      <c r="D21" s="2204"/>
      <c r="E21" s="2200"/>
      <c r="F21" s="2200"/>
      <c r="G21" s="2207"/>
      <c r="H21" s="1609"/>
      <c r="I21" s="2203"/>
      <c r="J21" s="2174"/>
      <c r="K21" s="1591"/>
      <c r="L21" s="2159"/>
      <c r="M21" s="2159"/>
      <c r="N21" s="1603"/>
      <c r="O21" s="1603"/>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82"/>
      <c r="BM21" s="301">
        <v>11</v>
      </c>
    </row>
    <row s="1562" customFormat="1" customHeight="1" ht="11.549999999999999">
      <c r="D22" s="2210"/>
      <c r="E22" s="2211"/>
      <c r="F22" s="2201"/>
      <c r="G22" s="2133"/>
      <c r="H22" s="1606"/>
      <c r="I22" s="1610"/>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204" t="s">
        <v>90</v>
      </c>
      <c r="E23" s="2200" t="s">
        <v>310</v>
      </c>
      <c r="F23" s="2200" t="s">
        <v>313</v>
      </c>
      <c r="G23" s="2206" t="s">
        <v>19</v>
      </c>
      <c r="H23" s="1607"/>
      <c r="I23" s="2202"/>
      <c r="J23" s="2173"/>
      <c r="K23" s="1522"/>
      <c r="L23" s="2158"/>
      <c r="M23" s="2158"/>
      <c r="N23" s="1592"/>
      <c r="O23" s="2158"/>
      <c r="P23" s="2173"/>
      <c r="Q23" s="1593"/>
      <c r="R23" s="2158"/>
      <c r="S23" s="2158"/>
      <c r="T23" s="1594"/>
      <c r="U23" s="2158"/>
      <c r="V23" s="2173"/>
      <c r="W23" s="1595"/>
      <c r="X23" s="2158"/>
      <c r="Y23" s="2158"/>
      <c r="Z23" s="1592"/>
      <c r="AA23" s="2158"/>
      <c r="AB23" s="2173"/>
      <c r="AC23" s="1596"/>
      <c r="AD23" s="2158"/>
      <c r="AE23" s="2158"/>
      <c r="AF23" s="1521"/>
      <c r="AG23" s="1521"/>
      <c r="AH23" s="1597"/>
      <c r="AI23" s="1304"/>
      <c r="AJ23" s="1582"/>
      <c r="AK23" s="314" t="s">
        <v>98</v>
      </c>
      <c r="BM23" s="301">
        <v>14</v>
      </c>
    </row>
    <row customHeight="1" ht="14.699999999999998">
      <c r="D24" s="2204"/>
      <c r="E24" s="2200"/>
      <c r="F24" s="2200"/>
      <c r="G24" s="2207"/>
      <c r="H24" s="1608"/>
      <c r="I24" s="2203"/>
      <c r="J24" s="2174"/>
      <c r="K24" s="1618"/>
      <c r="L24" s="2159"/>
      <c r="M24" s="2159"/>
      <c r="N24" s="1598"/>
      <c r="O24" s="2159"/>
      <c r="P24" s="2174"/>
      <c r="Q24" s="1599"/>
      <c r="R24" s="2159"/>
      <c r="S24" s="2159"/>
      <c r="T24" s="1600"/>
      <c r="U24" s="2159"/>
      <c r="V24" s="2174"/>
      <c r="W24" s="1601"/>
      <c r="X24" s="2159"/>
      <c r="Y24" s="2159"/>
      <c r="Z24" s="1598"/>
      <c r="AA24" s="2159"/>
      <c r="AB24" s="2174"/>
      <c r="AC24" s="1602"/>
      <c r="AD24" s="2159"/>
      <c r="AE24" s="2159"/>
      <c r="AF24" s="1603"/>
      <c r="AG24" s="1603"/>
      <c r="AH24" s="2198"/>
      <c r="AI24" s="2199"/>
      <c r="AJ24" s="1582"/>
      <c r="BM24" s="301">
        <v>14</v>
      </c>
    </row>
    <row customHeight="1" ht="14.699999999999998">
      <c r="D25" s="2204"/>
      <c r="E25" s="2200"/>
      <c r="F25" s="2200"/>
      <c r="G25" s="2207"/>
      <c r="H25" s="1608"/>
      <c r="I25" s="2203"/>
      <c r="J25" s="2174"/>
      <c r="K25" s="1618"/>
      <c r="L25" s="2159"/>
      <c r="M25" s="2159"/>
      <c r="N25" s="1598"/>
      <c r="O25" s="2159"/>
      <c r="P25" s="2174"/>
      <c r="Q25" s="1599"/>
      <c r="R25" s="2159"/>
      <c r="S25" s="2159"/>
      <c r="T25" s="1600"/>
      <c r="U25" s="2159"/>
      <c r="V25" s="2174"/>
      <c r="W25" s="1601"/>
      <c r="X25" s="2159"/>
      <c r="Y25" s="2159"/>
      <c r="Z25" s="1520"/>
      <c r="AA25" s="1603"/>
      <c r="AB25" s="2198"/>
      <c r="AC25" s="2198"/>
      <c r="AD25" s="2198"/>
      <c r="AE25" s="2198"/>
      <c r="AF25" s="2198"/>
      <c r="AG25" s="2198"/>
      <c r="AH25" s="2198"/>
      <c r="AI25" s="2199"/>
      <c r="AJ25" s="1582"/>
      <c r="BM25" s="301">
        <v>14</v>
      </c>
    </row>
    <row customHeight="1" ht="14.699999999999998">
      <c r="D26" s="2204"/>
      <c r="E26" s="2200"/>
      <c r="F26" s="2200"/>
      <c r="G26" s="2207"/>
      <c r="H26" s="1608"/>
      <c r="I26" s="2203"/>
      <c r="J26" s="2174"/>
      <c r="K26" s="1618"/>
      <c r="L26" s="2159"/>
      <c r="M26" s="2159"/>
      <c r="N26" s="1598"/>
      <c r="O26" s="2159"/>
      <c r="P26" s="2174"/>
      <c r="Q26" s="1599"/>
      <c r="R26" s="2159"/>
      <c r="S26" s="2159"/>
      <c r="T26" s="1604"/>
      <c r="U26" s="1605"/>
      <c r="V26" s="2198"/>
      <c r="W26" s="2198"/>
      <c r="X26" s="2198"/>
      <c r="Y26" s="2198"/>
      <c r="Z26" s="2198"/>
      <c r="AA26" s="2198"/>
      <c r="AB26" s="2198"/>
      <c r="AC26" s="2198"/>
      <c r="AD26" s="2198"/>
      <c r="AE26" s="2198"/>
      <c r="AF26" s="2198"/>
      <c r="AG26" s="2198"/>
      <c r="AH26" s="2198"/>
      <c r="AI26" s="2199"/>
      <c r="AJ26" s="1582"/>
      <c r="BM26" s="301">
        <v>14</v>
      </c>
    </row>
    <row customHeight="1" ht="11.549999999999999">
      <c r="D27" s="2204"/>
      <c r="E27" s="2200"/>
      <c r="F27" s="2200"/>
      <c r="G27" s="2207"/>
      <c r="H27" s="1609"/>
      <c r="I27" s="2203"/>
      <c r="J27" s="2174"/>
      <c r="K27" s="1618"/>
      <c r="L27" s="2159"/>
      <c r="M27" s="2159"/>
      <c r="N27" s="1603"/>
      <c r="O27" s="1603"/>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82"/>
      <c r="BM27" s="301">
        <v>11</v>
      </c>
    </row>
    <row s="1562" customFormat="1" customHeight="1" ht="11.549999999999999">
      <c r="D28" s="2210"/>
      <c r="E28" s="2211"/>
      <c r="F28" s="2201"/>
      <c r="G28" s="2133"/>
      <c r="H28" s="1606"/>
      <c r="I28" s="1610"/>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204" t="s">
        <v>91</v>
      </c>
      <c r="E29" s="2200" t="s">
        <v>310</v>
      </c>
      <c r="F29" s="2200" t="s">
        <v>314</v>
      </c>
      <c r="G29" s="2206" t="s">
        <v>19</v>
      </c>
      <c r="H29" s="1607"/>
      <c r="I29" s="2202"/>
      <c r="J29" s="2173"/>
      <c r="K29" s="1522"/>
      <c r="L29" s="2158"/>
      <c r="M29" s="2158"/>
      <c r="N29" s="1592"/>
      <c r="O29" s="2158"/>
      <c r="P29" s="2173"/>
      <c r="Q29" s="1593"/>
      <c r="R29" s="2158"/>
      <c r="S29" s="2158"/>
      <c r="T29" s="1594"/>
      <c r="U29" s="2158"/>
      <c r="V29" s="2173"/>
      <c r="W29" s="1595"/>
      <c r="X29" s="2158"/>
      <c r="Y29" s="2158"/>
      <c r="Z29" s="1592"/>
      <c r="AA29" s="2158"/>
      <c r="AB29" s="2173"/>
      <c r="AC29" s="1596"/>
      <c r="AD29" s="2158"/>
      <c r="AE29" s="2158"/>
      <c r="AF29" s="1521"/>
      <c r="AG29" s="1521"/>
      <c r="AH29" s="1597"/>
      <c r="AI29" s="1304"/>
      <c r="AJ29" s="1582"/>
      <c r="BM29" s="301">
        <v>14</v>
      </c>
    </row>
    <row customHeight="1" ht="14.699999999999998">
      <c r="D30" s="2204"/>
      <c r="E30" s="2200"/>
      <c r="F30" s="2200"/>
      <c r="G30" s="2207"/>
      <c r="H30" s="1608"/>
      <c r="I30" s="2203"/>
      <c r="J30" s="2174"/>
      <c r="K30" s="1591"/>
      <c r="L30" s="2159"/>
      <c r="M30" s="2159"/>
      <c r="N30" s="1598"/>
      <c r="O30" s="2159"/>
      <c r="P30" s="2174"/>
      <c r="Q30" s="1599"/>
      <c r="R30" s="2159"/>
      <c r="S30" s="2159"/>
      <c r="T30" s="1600"/>
      <c r="U30" s="2159"/>
      <c r="V30" s="2174"/>
      <c r="W30" s="1601"/>
      <c r="X30" s="2159"/>
      <c r="Y30" s="2159"/>
      <c r="Z30" s="1598"/>
      <c r="AA30" s="2159"/>
      <c r="AB30" s="2174"/>
      <c r="AC30" s="1602"/>
      <c r="AD30" s="2159"/>
      <c r="AE30" s="2159"/>
      <c r="AF30" s="1603"/>
      <c r="AG30" s="1603"/>
      <c r="AH30" s="2198"/>
      <c r="AI30" s="2199"/>
      <c r="AJ30" s="1582"/>
      <c r="BM30" s="301">
        <v>14</v>
      </c>
    </row>
    <row customHeight="1" ht="14.699999999999998">
      <c r="D31" s="2204"/>
      <c r="E31" s="2200"/>
      <c r="F31" s="2200"/>
      <c r="G31" s="2207"/>
      <c r="H31" s="1608"/>
      <c r="I31" s="2203"/>
      <c r="J31" s="2174"/>
      <c r="K31" s="1591"/>
      <c r="L31" s="2159"/>
      <c r="M31" s="2159"/>
      <c r="N31" s="1598"/>
      <c r="O31" s="2159"/>
      <c r="P31" s="2174"/>
      <c r="Q31" s="1599"/>
      <c r="R31" s="2159"/>
      <c r="S31" s="2159"/>
      <c r="T31" s="1600"/>
      <c r="U31" s="2159"/>
      <c r="V31" s="2174"/>
      <c r="W31" s="1601"/>
      <c r="X31" s="2159"/>
      <c r="Y31" s="2159"/>
      <c r="Z31" s="1520"/>
      <c r="AA31" s="1603"/>
      <c r="AB31" s="2198"/>
      <c r="AC31" s="2198"/>
      <c r="AD31" s="2198"/>
      <c r="AE31" s="2198"/>
      <c r="AF31" s="2198"/>
      <c r="AG31" s="2198"/>
      <c r="AH31" s="2198"/>
      <c r="AI31" s="2199"/>
      <c r="AJ31" s="1582"/>
      <c r="BM31" s="301">
        <v>14</v>
      </c>
    </row>
    <row customHeight="1" ht="14.699999999999998">
      <c r="D32" s="2204"/>
      <c r="E32" s="2200"/>
      <c r="F32" s="2200"/>
      <c r="G32" s="2207"/>
      <c r="H32" s="1608"/>
      <c r="I32" s="2203"/>
      <c r="J32" s="2174"/>
      <c r="K32" s="1591"/>
      <c r="L32" s="2159"/>
      <c r="M32" s="2159"/>
      <c r="N32" s="1598"/>
      <c r="O32" s="2159"/>
      <c r="P32" s="2174"/>
      <c r="Q32" s="1599"/>
      <c r="R32" s="2159"/>
      <c r="S32" s="2159"/>
      <c r="T32" s="1604"/>
      <c r="U32" s="1605"/>
      <c r="V32" s="2198"/>
      <c r="W32" s="2198"/>
      <c r="X32" s="2198"/>
      <c r="Y32" s="2198"/>
      <c r="Z32" s="2198"/>
      <c r="AA32" s="2198"/>
      <c r="AB32" s="2198"/>
      <c r="AC32" s="2198"/>
      <c r="AD32" s="2198"/>
      <c r="AE32" s="2198"/>
      <c r="AF32" s="2198"/>
      <c r="AG32" s="2198"/>
      <c r="AH32" s="2198"/>
      <c r="AI32" s="2199"/>
      <c r="AJ32" s="1582"/>
      <c r="BM32" s="301">
        <v>14</v>
      </c>
    </row>
    <row customHeight="1" ht="11.549999999999999">
      <c r="D33" s="2204"/>
      <c r="E33" s="2200"/>
      <c r="F33" s="2200"/>
      <c r="G33" s="2207"/>
      <c r="H33" s="1609"/>
      <c r="I33" s="2203"/>
      <c r="J33" s="2174"/>
      <c r="K33" s="1591"/>
      <c r="L33" s="2159"/>
      <c r="M33" s="2159"/>
      <c r="N33" s="1603"/>
      <c r="O33" s="1603"/>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82"/>
      <c r="BM33" s="301">
        <v>11</v>
      </c>
    </row>
    <row s="1562" customFormat="1" customHeight="1" ht="11.549999999999999">
      <c r="D34" s="2210"/>
      <c r="E34" s="2211"/>
      <c r="F34" s="2201"/>
      <c r="G34" s="2133"/>
      <c r="H34" s="1606"/>
      <c r="I34" s="1610"/>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204" t="s">
        <v>119</v>
      </c>
      <c r="E35" s="2200" t="s">
        <v>310</v>
      </c>
      <c r="F35" s="2200" t="s">
        <v>315</v>
      </c>
      <c r="G35" s="2206" t="s">
        <v>19</v>
      </c>
      <c r="H35" s="1607"/>
      <c r="I35" s="2202"/>
      <c r="J35" s="2173"/>
      <c r="K35" s="1522"/>
      <c r="L35" s="2158"/>
      <c r="M35" s="2158"/>
      <c r="N35" s="1592"/>
      <c r="O35" s="2158"/>
      <c r="P35" s="2173"/>
      <c r="Q35" s="1593"/>
      <c r="R35" s="2158"/>
      <c r="S35" s="2158"/>
      <c r="T35" s="1594"/>
      <c r="U35" s="2158"/>
      <c r="V35" s="2173"/>
      <c r="W35" s="1595"/>
      <c r="X35" s="2158"/>
      <c r="Y35" s="2158"/>
      <c r="Z35" s="1592"/>
      <c r="AA35" s="2158"/>
      <c r="AB35" s="2173"/>
      <c r="AC35" s="1596"/>
      <c r="AD35" s="2158"/>
      <c r="AE35" s="2158"/>
      <c r="AF35" s="1521"/>
      <c r="AG35" s="1521"/>
      <c r="AH35" s="1597"/>
      <c r="AI35" s="1304"/>
      <c r="AJ35" s="1582"/>
      <c r="BM35" s="301">
        <v>14</v>
      </c>
    </row>
    <row customHeight="1" ht="14.699999999999998">
      <c r="D36" s="2204"/>
      <c r="E36" s="2200"/>
      <c r="F36" s="2200"/>
      <c r="G36" s="2207"/>
      <c r="H36" s="1608"/>
      <c r="I36" s="2203"/>
      <c r="J36" s="2174"/>
      <c r="K36" s="1591"/>
      <c r="L36" s="2159"/>
      <c r="M36" s="2159"/>
      <c r="N36" s="1598"/>
      <c r="O36" s="2159"/>
      <c r="P36" s="2174"/>
      <c r="Q36" s="1599"/>
      <c r="R36" s="2159"/>
      <c r="S36" s="2159"/>
      <c r="T36" s="1600"/>
      <c r="U36" s="2159"/>
      <c r="V36" s="2174"/>
      <c r="W36" s="1601"/>
      <c r="X36" s="2159"/>
      <c r="Y36" s="2159"/>
      <c r="Z36" s="1598"/>
      <c r="AA36" s="2159"/>
      <c r="AB36" s="2174"/>
      <c r="AC36" s="1602"/>
      <c r="AD36" s="2159"/>
      <c r="AE36" s="2159"/>
      <c r="AF36" s="1603"/>
      <c r="AG36" s="1603"/>
      <c r="AH36" s="2198"/>
      <c r="AI36" s="2199"/>
      <c r="AJ36" s="1582"/>
      <c r="BM36" s="301">
        <v>14</v>
      </c>
    </row>
    <row customHeight="1" ht="14.699999999999998">
      <c r="D37" s="2204"/>
      <c r="E37" s="2200"/>
      <c r="F37" s="2200"/>
      <c r="G37" s="2207"/>
      <c r="H37" s="1608"/>
      <c r="I37" s="2203"/>
      <c r="J37" s="2174"/>
      <c r="K37" s="1591"/>
      <c r="L37" s="2159"/>
      <c r="M37" s="2159"/>
      <c r="N37" s="1598"/>
      <c r="O37" s="2159"/>
      <c r="P37" s="2174"/>
      <c r="Q37" s="1599"/>
      <c r="R37" s="2159"/>
      <c r="S37" s="2159"/>
      <c r="T37" s="1600"/>
      <c r="U37" s="2159"/>
      <c r="V37" s="2174"/>
      <c r="W37" s="1601"/>
      <c r="X37" s="2159"/>
      <c r="Y37" s="2159"/>
      <c r="Z37" s="1520"/>
      <c r="AA37" s="1603"/>
      <c r="AB37" s="2198"/>
      <c r="AC37" s="2198"/>
      <c r="AD37" s="2198"/>
      <c r="AE37" s="2198"/>
      <c r="AF37" s="2198"/>
      <c r="AG37" s="2198"/>
      <c r="AH37" s="2198"/>
      <c r="AI37" s="2199"/>
      <c r="AJ37" s="1582"/>
      <c r="BM37" s="301">
        <v>14</v>
      </c>
    </row>
    <row customHeight="1" ht="14.699999999999998">
      <c r="D38" s="2204"/>
      <c r="E38" s="2200"/>
      <c r="F38" s="2200"/>
      <c r="G38" s="2207"/>
      <c r="H38" s="1608"/>
      <c r="I38" s="2203"/>
      <c r="J38" s="2174"/>
      <c r="K38" s="1591"/>
      <c r="L38" s="2159"/>
      <c r="M38" s="2159"/>
      <c r="N38" s="1598"/>
      <c r="O38" s="2159"/>
      <c r="P38" s="2174"/>
      <c r="Q38" s="1599"/>
      <c r="R38" s="2159"/>
      <c r="S38" s="2159"/>
      <c r="T38" s="1604"/>
      <c r="U38" s="1605"/>
      <c r="V38" s="2198"/>
      <c r="W38" s="2198"/>
      <c r="X38" s="2198"/>
      <c r="Y38" s="2198"/>
      <c r="Z38" s="2198"/>
      <c r="AA38" s="2198"/>
      <c r="AB38" s="2198"/>
      <c r="AC38" s="2198"/>
      <c r="AD38" s="2198"/>
      <c r="AE38" s="2198"/>
      <c r="AF38" s="2198"/>
      <c r="AG38" s="2198"/>
      <c r="AH38" s="2198"/>
      <c r="AI38" s="2199"/>
      <c r="AJ38" s="1582"/>
      <c r="BM38" s="301">
        <v>14</v>
      </c>
    </row>
    <row customHeight="1" ht="11.549999999999999">
      <c r="D39" s="2204"/>
      <c r="E39" s="2200"/>
      <c r="F39" s="2200"/>
      <c r="G39" s="2207"/>
      <c r="H39" s="1609"/>
      <c r="I39" s="2203"/>
      <c r="J39" s="2174"/>
      <c r="K39" s="1591"/>
      <c r="L39" s="2159"/>
      <c r="M39" s="2159"/>
      <c r="N39" s="1603"/>
      <c r="O39" s="1603"/>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82"/>
      <c r="BM39" s="301">
        <v>11</v>
      </c>
    </row>
    <row s="1562" customFormat="1" customHeight="1" ht="11.549999999999999">
      <c r="D40" s="2204"/>
      <c r="E40" s="2200"/>
      <c r="F40" s="2205"/>
      <c r="G40" s="2133"/>
      <c r="H40" s="1606"/>
      <c r="I40" s="1610"/>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3B634-ACE2-9DD3-88DF-8B0327AEE29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7" t="s">
        <v>14</v>
      </c>
    </row>
    <row customHeight="1" ht="22.5">
      <c r="B2" s="2635" t="s">
        <v>2053</v>
      </c>
      <c r="C2" s="2521"/>
      <c r="D2" s="2521"/>
      <c r="E2" s="276"/>
      <c r="F2" s="97">
        <v>22</v>
      </c>
    </row>
    <row customHeight="1" ht="3">
      <c r="F3" s="97">
        <v>3</v>
      </c>
    </row>
    <row customHeight="1" ht="23.25">
      <c r="B4" s="2636" t="s">
        <v>2054</v>
      </c>
      <c r="C4" s="391" t="s">
        <v>2055</v>
      </c>
      <c r="D4" s="391" t="s">
        <v>2056</v>
      </c>
      <c r="F4" s="97">
        <v>22</v>
      </c>
    </row>
    <row customHeight="1" ht="11.25" hidden="1">
      <c r="A5" s="97" t="s">
        <v>82</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8866A-A501-4A23-0BFF-6528C4F3CCC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2" customFormat="1" customHeight="1" ht="17.25">
      <c r="A2" s="1822" t="s">
        <v>2057</v>
      </c>
    </row>
    <row r="4" s="272" customFormat="1" customHeight="1" ht="15">
      <c r="C4" s="1823"/>
      <c r="D4" s="121"/>
      <c r="E4" s="385"/>
    </row>
    <row r="6" s="1822" customFormat="1" customHeight="1" ht="17.25">
      <c r="A6" s="1822" t="s">
        <v>2058</v>
      </c>
    </row>
    <row r="8" s="272" customFormat="1" customHeight="1" ht="17.25">
      <c r="C8" s="1824"/>
      <c r="D8" s="121"/>
      <c r="E8" s="122"/>
    </row>
    <row r="11" s="1822" customFormat="1" customHeight="1" ht="17.25">
      <c r="A11" s="1822" t="s">
        <v>2059</v>
      </c>
    </row>
    <row r="13" s="1826" customFormat="1" customHeight="1" ht="15">
      <c r="A13" s="2238">
        <v>1</v>
      </c>
      <c r="B13" s="1168"/>
      <c r="C13" s="809" t="s">
        <v>103</v>
      </c>
      <c r="D13" s="1825"/>
      <c r="E13" s="1812">
        <f>A13</f>
        <v>1</v>
      </c>
      <c r="F13" s="812"/>
      <c r="G13" s="548" t="str">
        <f>"Территория "&amp;E13</f>
        <v>Территория 1</v>
      </c>
      <c r="H13" s="800"/>
      <c r="I13" s="800"/>
      <c r="J13" s="797"/>
      <c r="K13" s="1632"/>
      <c r="L13" s="1632"/>
      <c r="M13" s="1632"/>
      <c r="N13" s="234"/>
      <c r="O13" s="1632"/>
      <c r="P13" s="233"/>
      <c r="Q13" s="233"/>
      <c r="R13" s="233"/>
      <c r="S13" s="233"/>
    </row>
    <row s="1855" customFormat="1" customHeight="1" ht="15">
      <c r="A14" s="2238"/>
      <c r="B14" s="1168">
        <v>1</v>
      </c>
      <c r="C14" s="1168"/>
      <c r="D14" s="808"/>
      <c r="E14" s="1820"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5" customFormat="1" customHeight="1" ht="15">
      <c r="A15" s="2238"/>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2" customFormat="1" customHeight="1" ht="17.25">
      <c r="A17" s="1822" t="s">
        <v>2060</v>
      </c>
    </row>
    <row r="19" s="1855" customFormat="1" customHeight="1" ht="15">
      <c r="A19" s="1887"/>
      <c r="B19" s="1374">
        <v>1</v>
      </c>
      <c r="C19" s="1374"/>
      <c r="D19" s="808" t="s">
        <v>103</v>
      </c>
      <c r="E19" s="1883"/>
      <c r="F19" s="1888">
        <f>$F$20</f>
        <v>0</v>
      </c>
      <c r="G19" s="1892"/>
      <c r="H19" s="1892"/>
      <c r="I19" s="1890"/>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5" customFormat="1" customHeight="1" ht="15">
      <c r="A21" s="1822" t="s">
        <v>2061</v>
      </c>
      <c r="B21" s="1822"/>
      <c r="C21" s="1822"/>
      <c r="D21" s="1822"/>
      <c r="E21" s="1822"/>
      <c r="F21" s="1822"/>
      <c r="G21" s="1822"/>
      <c r="H21" s="1822"/>
      <c r="I21" s="1822"/>
      <c r="J21" s="1822"/>
      <c r="K21" s="1822"/>
      <c r="L21" s="1822"/>
      <c r="M21" s="1822"/>
      <c r="N21" s="1822"/>
      <c r="O21" s="1822"/>
      <c r="P21" s="1822"/>
      <c r="Q21" s="1822"/>
      <c r="R21" s="1822"/>
      <c r="S21" s="1822"/>
      <c r="T21" s="1822"/>
      <c r="U21" s="192"/>
      <c r="V21" s="1822"/>
      <c r="W21" s="1822"/>
    </row>
    <row s="1855" customFormat="1" customHeight="1" ht="15">
      <c r="U22" s="193"/>
    </row>
    <row s="1858" customFormat="1" customHeight="1" ht="15">
      <c r="A23" s="431"/>
      <c r="B23" s="431"/>
      <c r="C23" s="1735" t="s">
        <v>103</v>
      </c>
      <c r="D23" s="2129" t="s">
        <v>118</v>
      </c>
      <c r="E23" s="2130"/>
      <c r="F23" s="2128" t="s">
        <v>19</v>
      </c>
      <c r="G23" s="2578"/>
      <c r="H23" s="2148">
        <v>1</v>
      </c>
      <c r="I23" s="2580" t="str">
        <f>IF(U23="","",INDEX(TERRITORY_MR_LIST,MATCH(U23,TERRITORY_LIST_ID,0)))</f>
        <v/>
      </c>
      <c r="J23" s="2128" t="s">
        <v>19</v>
      </c>
      <c r="K23" s="840"/>
      <c r="L23" s="1789" t="s">
        <v>118</v>
      </c>
      <c r="M23" s="611"/>
      <c r="N23" s="612"/>
      <c r="O23" s="612"/>
      <c r="P23" s="612"/>
      <c r="Q23" s="612"/>
      <c r="R23" s="612"/>
      <c r="S23" s="612"/>
      <c r="T23" s="612"/>
      <c r="U23" s="613"/>
      <c r="V23" s="612"/>
      <c r="W23" s="612"/>
      <c r="X23" s="603"/>
      <c r="Y23" s="603" t="s">
        <v>128</v>
      </c>
      <c r="Z23" s="603">
        <v>1705000</v>
      </c>
      <c r="AA23" s="603"/>
      <c r="AB23" s="603"/>
      <c r="AC23" s="603"/>
      <c r="AD23" s="603"/>
      <c r="AE23" s="603"/>
      <c r="AF23" s="603"/>
      <c r="AG23" s="603"/>
      <c r="AH23" s="603"/>
      <c r="AI23" s="603"/>
      <c r="AJ23" s="603"/>
      <c r="AK23" s="603"/>
      <c r="AL23" s="603"/>
    </row>
    <row s="1858" customFormat="1" customHeight="1" ht="15">
      <c r="A24" s="431"/>
      <c r="B24" s="431"/>
      <c r="C24" s="184"/>
      <c r="D24" s="2129"/>
      <c r="E24" s="2131"/>
      <c r="F24" s="2128"/>
      <c r="G24" s="2579"/>
      <c r="H24" s="2148"/>
      <c r="I24" s="2581"/>
      <c r="J24" s="2128"/>
      <c r="K24" s="429"/>
      <c r="L24" s="185"/>
      <c r="M24" s="615" t="s">
        <v>129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58" customFormat="1" customHeight="1" ht="15">
      <c r="A25" s="431"/>
      <c r="B25" s="431"/>
      <c r="C25" s="184"/>
      <c r="D25" s="2129"/>
      <c r="E25" s="2132"/>
      <c r="F25" s="2128"/>
      <c r="G25" s="429"/>
      <c r="H25" s="185"/>
      <c r="I25" s="588" t="s">
        <v>130</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5" customFormat="1" customHeight="1" ht="15">
      <c r="U26" s="193"/>
    </row>
    <row s="1855" customFormat="1" customHeight="1" ht="15">
      <c r="A27" s="1822" t="s">
        <v>2062</v>
      </c>
      <c r="B27" s="1822"/>
      <c r="C27" s="1822"/>
      <c r="D27" s="1822"/>
      <c r="E27" s="1822"/>
      <c r="F27" s="1822"/>
      <c r="G27" s="1822"/>
      <c r="H27" s="1822"/>
      <c r="I27" s="1822"/>
      <c r="J27" s="1822"/>
      <c r="K27" s="1822"/>
      <c r="L27" s="1822"/>
      <c r="M27" s="1822"/>
      <c r="N27" s="1822"/>
      <c r="O27" s="1822"/>
      <c r="P27" s="1822"/>
      <c r="Q27" s="1822"/>
      <c r="R27" s="1822"/>
      <c r="S27" s="1822"/>
      <c r="T27" s="1822"/>
      <c r="U27" s="192"/>
      <c r="V27" s="1822"/>
      <c r="W27" s="1822"/>
    </row>
    <row s="1855" customFormat="1" customHeight="1" ht="15">
      <c r="U28" s="193"/>
    </row>
    <row s="1858" customFormat="1" customHeight="1" ht="15">
      <c r="A29" s="431"/>
      <c r="B29" s="431"/>
      <c r="C29" s="184"/>
      <c r="D29" s="1828"/>
      <c r="E29" s="1828"/>
      <c r="F29" s="1828"/>
      <c r="G29" s="2582" t="s">
        <v>103</v>
      </c>
      <c r="H29" s="2124">
        <v>1</v>
      </c>
      <c r="I29" s="2583" t="str">
        <f>IF(U29="","",INDEX(TERRITORY_MR_LIST,MATCH(U29,TERRITORY_LIST_ID,0)))</f>
        <v/>
      </c>
      <c r="J29" s="2128" t="s">
        <v>19</v>
      </c>
      <c r="K29" s="840"/>
      <c r="L29" s="1789" t="s">
        <v>118</v>
      </c>
      <c r="M29" s="611"/>
      <c r="N29" s="612"/>
      <c r="O29" s="612"/>
      <c r="P29" s="612"/>
      <c r="Q29" s="612"/>
      <c r="R29" s="612"/>
      <c r="S29" s="612"/>
      <c r="T29" s="612"/>
      <c r="U29" s="613"/>
      <c r="V29" s="612"/>
      <c r="W29" s="612"/>
      <c r="X29" s="603"/>
      <c r="Y29" s="603" t="s">
        <v>128</v>
      </c>
      <c r="Z29" s="603">
        <v>1705000</v>
      </c>
      <c r="AA29" s="603"/>
      <c r="AB29" s="603"/>
      <c r="AC29" s="603"/>
      <c r="AD29" s="603"/>
      <c r="AE29" s="603"/>
      <c r="AF29" s="603"/>
      <c r="AG29" s="603"/>
      <c r="AH29" s="603"/>
      <c r="AI29" s="603"/>
      <c r="AJ29" s="603"/>
      <c r="AK29" s="603"/>
      <c r="AL29" s="603"/>
    </row>
    <row s="1858" customFormat="1" customHeight="1" ht="15">
      <c r="A30" s="431"/>
      <c r="B30" s="431"/>
      <c r="C30" s="184"/>
      <c r="D30" s="1828"/>
      <c r="E30" s="1828"/>
      <c r="F30" s="1828"/>
      <c r="G30" s="2582"/>
      <c r="H30" s="2124"/>
      <c r="I30" s="2583"/>
      <c r="J30" s="2128"/>
      <c r="K30" s="429"/>
      <c r="L30" s="185"/>
      <c r="M30" s="615" t="s">
        <v>129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5" customFormat="1" customHeight="1" ht="15">
      <c r="U31" s="193"/>
    </row>
    <row s="1855" customFormat="1" customHeight="1" ht="15">
      <c r="A32" s="1822" t="s">
        <v>2063</v>
      </c>
      <c r="B32" s="1822"/>
      <c r="C32" s="1822"/>
      <c r="D32" s="1822"/>
      <c r="E32" s="1822"/>
      <c r="F32" s="1822"/>
      <c r="G32" s="1822"/>
      <c r="H32" s="1822"/>
      <c r="I32" s="1822"/>
      <c r="J32" s="1822"/>
      <c r="K32" s="1822"/>
      <c r="L32" s="1822"/>
      <c r="M32" s="1822"/>
      <c r="N32" s="1822"/>
      <c r="O32" s="1822"/>
      <c r="P32" s="1822"/>
      <c r="Q32" s="1822"/>
      <c r="R32" s="1822"/>
      <c r="S32" s="1822"/>
      <c r="T32" s="1822"/>
      <c r="U32" s="192"/>
      <c r="V32" s="1822"/>
      <c r="W32" s="1822"/>
    </row>
    <row s="1855" customFormat="1" customHeight="1" ht="15">
      <c r="U33" s="193"/>
    </row>
    <row s="1858" customFormat="1" customHeight="1" ht="15">
      <c r="A34" s="431"/>
      <c r="B34" s="431"/>
      <c r="C34" s="184"/>
      <c r="D34" s="1828"/>
      <c r="E34" s="1828"/>
      <c r="F34" s="1828"/>
      <c r="G34" s="1828"/>
      <c r="H34" s="1828"/>
      <c r="I34" s="1828"/>
      <c r="J34" s="1828"/>
      <c r="K34" s="1806" t="s">
        <v>103</v>
      </c>
      <c r="L34" s="1736" t="s">
        <v>118</v>
      </c>
      <c r="M34" s="819"/>
      <c r="N34" s="820"/>
      <c r="O34" s="612"/>
      <c r="P34" s="612"/>
      <c r="Q34" s="612"/>
      <c r="R34" s="612"/>
      <c r="S34" s="612"/>
      <c r="T34" s="612"/>
      <c r="U34" s="613"/>
      <c r="V34" s="612"/>
      <c r="W34" s="612"/>
      <c r="X34" s="603"/>
      <c r="Y34" s="603" t="s">
        <v>128</v>
      </c>
      <c r="Z34" s="603">
        <v>1705000</v>
      </c>
      <c r="AA34" s="603"/>
      <c r="AB34" s="603"/>
      <c r="AC34" s="603"/>
      <c r="AD34" s="603"/>
      <c r="AE34" s="603"/>
      <c r="AF34" s="603"/>
      <c r="AG34" s="603"/>
      <c r="AH34" s="603"/>
      <c r="AI34" s="603"/>
      <c r="AJ34" s="603"/>
      <c r="AK34" s="603"/>
      <c r="AL34" s="603"/>
    </row>
    <row s="1855" customFormat="1" customHeight="1" ht="15">
      <c r="U35" s="193"/>
    </row>
    <row s="1855" customFormat="1" customHeight="1" ht="15">
      <c r="U36" s="193"/>
    </row>
    <row s="1822" customFormat="1" customHeight="1" ht="11.25">
      <c r="A37" s="1822" t="s">
        <v>2064</v>
      </c>
    </row>
    <row customHeight="1" ht="11.25"/>
    <row s="463" customFormat="1" customHeight="1" ht="22.5">
      <c r="A39" s="1798"/>
      <c r="B39" s="465"/>
      <c r="C39" s="867"/>
      <c r="D39" s="448"/>
      <c r="E39" s="868"/>
      <c r="F39" s="1819"/>
      <c r="G39" s="1829"/>
      <c r="H39" s="483"/>
    </row>
    <row customHeight="1" ht="11.25"/>
    <row s="1822" customFormat="1" customHeight="1" ht="11.25">
      <c r="A41" s="1822" t="s">
        <v>2065</v>
      </c>
    </row>
    <row customHeight="1" ht="11.25"/>
    <row s="463" customFormat="1" customHeight="1" ht="22.5">
      <c r="A43" s="465"/>
      <c r="B43" s="465"/>
      <c r="C43" s="465"/>
      <c r="D43" s="448"/>
      <c r="E43" s="868"/>
      <c r="F43" s="869"/>
      <c r="G43" s="1829"/>
      <c r="H43" s="483"/>
    </row>
    <row customHeight="1" ht="11.25"/>
    <row s="1822" customFormat="1" customHeight="1" ht="11.25">
      <c r="A45" s="1822" t="s">
        <v>2066</v>
      </c>
    </row>
    <row customHeight="1" ht="11.25"/>
    <row s="463" customFormat="1" customHeight="1" ht="24">
      <c r="A47" s="2223" t="s">
        <v>330</v>
      </c>
      <c r="B47" s="510"/>
      <c r="C47" s="2234"/>
      <c r="D47" s="453" t="str">
        <f>A47</f>
        <v>5.1</v>
      </c>
      <c r="E47" s="450" t="s">
        <v>331</v>
      </c>
      <c r="F47" s="1981" t="s">
        <v>323</v>
      </c>
      <c r="G47" s="452" t="s">
        <v>332</v>
      </c>
      <c r="H47" s="483"/>
      <c r="I47" s="860"/>
    </row>
    <row s="463" customFormat="1" customHeight="1" ht="22.5">
      <c r="A48" s="2223"/>
      <c r="B48" s="510"/>
      <c r="C48" s="2234"/>
      <c r="D48" s="448" t="str">
        <f>D47&amp;".1"</f>
        <v>5.1.1</v>
      </c>
      <c r="E48" s="447" t="s">
        <v>333</v>
      </c>
      <c r="F48" s="1982" t="s">
        <v>22</v>
      </c>
      <c r="G48" s="482"/>
      <c r="H48" s="483"/>
      <c r="I48" s="860"/>
    </row>
    <row s="463" customFormat="1" customHeight="1" ht="22.5">
      <c r="A49" s="2223"/>
      <c r="B49" s="510"/>
      <c r="C49" s="2234"/>
      <c r="D49" s="448" t="str">
        <f>D47&amp;".2"</f>
        <v>5.1.2</v>
      </c>
      <c r="E49" s="447" t="s">
        <v>334</v>
      </c>
      <c r="F49" s="1739" t="s">
        <v>22</v>
      </c>
      <c r="G49" s="452" t="s">
        <v>335</v>
      </c>
      <c r="H49" s="483"/>
      <c r="I49" s="860"/>
    </row>
    <row s="463" customFormat="1" customHeight="1" ht="22.5">
      <c r="A50" s="2223"/>
      <c r="B50" s="510"/>
      <c r="C50" s="2234"/>
      <c r="D50" s="448" t="str">
        <f>D47&amp;".3"</f>
        <v>5.1.3</v>
      </c>
      <c r="E50" s="447" t="s">
        <v>336</v>
      </c>
      <c r="F50" s="1982" t="s">
        <v>22</v>
      </c>
      <c r="G50" s="482"/>
      <c r="H50" s="483"/>
      <c r="I50" s="860"/>
    </row>
    <row s="463" customFormat="1" customHeight="1" ht="22.5">
      <c r="A51" s="2223"/>
      <c r="B51" s="510"/>
      <c r="C51" s="2234"/>
      <c r="D51" s="448" t="str">
        <f>D47&amp;".4"</f>
        <v>5.1.4</v>
      </c>
      <c r="E51" s="447" t="s">
        <v>337</v>
      </c>
      <c r="F51" s="1982" t="s">
        <v>22</v>
      </c>
      <c r="G51" s="452" t="s">
        <v>338</v>
      </c>
      <c r="H51" s="483"/>
      <c r="I51" s="860"/>
    </row>
    <row r="54" s="1822" customFormat="1" customHeight="1" ht="17.25">
      <c r="A54" s="1822" t="s">
        <v>2067</v>
      </c>
    </row>
    <row r="56" s="1620" customFormat="1" customHeight="1" ht="18.75">
      <c r="A56" s="97"/>
      <c r="B56" s="1830"/>
      <c r="C56" s="1830"/>
      <c r="D56" s="1831"/>
      <c r="E56" s="1816"/>
      <c r="F56" s="876">
        <v>13</v>
      </c>
      <c r="G56" s="875"/>
      <c r="H56" s="801"/>
      <c r="I56" s="799"/>
      <c r="J56" s="528" t="s">
        <v>61</v>
      </c>
      <c r="K56" s="1832" t="s">
        <v>22</v>
      </c>
      <c r="L56" s="97"/>
      <c r="M56" s="1644"/>
      <c r="N56" s="1644"/>
      <c r="O56" s="1644"/>
      <c r="P56" s="524" t="s">
        <v>409</v>
      </c>
      <c r="Q56" s="524" t="s">
        <v>410</v>
      </c>
      <c r="R56" s="525" t="s">
        <v>411</v>
      </c>
      <c r="S56" s="1644" t="s">
        <v>412</v>
      </c>
      <c r="T56" s="1644"/>
      <c r="U56" s="1644"/>
      <c r="V56" s="1644"/>
    </row>
    <row r="58" s="1822" customFormat="1" customHeight="1" ht="11.25">
      <c r="A58" s="1822" t="s">
        <v>2068</v>
      </c>
    </row>
    <row r="60" s="1643" customFormat="1" customHeight="1" ht="14.25">
      <c r="C60" s="1695"/>
      <c r="D60" s="1874"/>
      <c r="E60" s="1784" t="s">
        <v>22</v>
      </c>
      <c r="F60" s="1873"/>
      <c r="G60" s="864"/>
      <c r="H60" s="1785"/>
      <c r="I60" s="1785"/>
      <c r="J60" s="441"/>
      <c r="K60" s="1868"/>
      <c r="L60" s="440"/>
      <c r="M60" s="1868"/>
      <c r="N60" s="441"/>
      <c r="O60" s="1868"/>
      <c r="P60" s="441"/>
      <c r="Q60" s="1868"/>
      <c r="R60" s="441"/>
      <c r="S60" s="862"/>
      <c r="T60" s="1785"/>
      <c r="U60" s="441"/>
      <c r="V60" s="441"/>
      <c r="W60" s="1872"/>
      <c r="X60" s="1785"/>
      <c r="Y60" s="441"/>
      <c r="Z60" s="441"/>
      <c r="AA60" s="1872"/>
      <c r="AB60" s="1785"/>
      <c r="AC60" s="441"/>
      <c r="AD60" s="1872"/>
      <c r="AE60" s="97"/>
      <c r="AF60" s="97"/>
      <c r="AG60" s="97"/>
      <c r="AH60" s="97"/>
      <c r="AJ60" s="1644"/>
      <c r="AK60" s="1644"/>
      <c r="AL60" s="1644"/>
      <c r="AM60" s="1644"/>
      <c r="AN60" s="1644"/>
      <c r="AO60" s="1644"/>
      <c r="AP60" s="1632" t="s">
        <v>398</v>
      </c>
      <c r="AQ60" s="1632" t="s">
        <v>398</v>
      </c>
      <c r="AR60" s="1644"/>
      <c r="AS60" s="1644"/>
    </row>
    <row r="62" s="1822" customFormat="1" customHeight="1" ht="11.25">
      <c r="A62" s="1822" t="s">
        <v>2069</v>
      </c>
    </row>
    <row r="64" s="1830" customFormat="1" customHeight="1" ht="15">
      <c r="A64" s="153" t="s">
        <v>90</v>
      </c>
      <c r="B64" s="133" t="s">
        <v>22</v>
      </c>
      <c r="C64" s="1833"/>
      <c r="D64" s="136"/>
      <c r="E64" s="389"/>
      <c r="F64" s="389"/>
      <c r="G64" s="1810"/>
      <c r="H64" s="1832"/>
      <c r="I64" s="1811"/>
      <c r="K64" s="280"/>
      <c r="L64" s="281"/>
    </row>
    <row r="66" s="1822" customFormat="1" customHeight="1" ht="11.25">
      <c r="A66" s="1822" t="s">
        <v>2070</v>
      </c>
    </row>
    <row r="68" s="1643" customFormat="1" customHeight="1" ht="14.25">
      <c r="A68" s="351"/>
      <c r="B68" s="1168"/>
      <c r="C68" s="384"/>
      <c r="D68" s="1817"/>
      <c r="E68" s="894"/>
      <c r="F68" s="1832"/>
      <c r="G68" s="97"/>
      <c r="I68" s="1632"/>
      <c r="J68" s="1632"/>
    </row>
    <row r="70" s="1822" customFormat="1" customHeight="1" ht="11.25">
      <c r="A70" s="1822" t="s">
        <v>2071</v>
      </c>
    </row>
    <row r="72" s="1643" customFormat="1" customHeight="1" ht="27">
      <c r="A72" s="1174"/>
      <c r="B72" s="1174"/>
      <c r="C72" s="1174"/>
      <c r="D72" s="1168"/>
      <c r="E72" s="1834"/>
      <c r="F72" s="2602"/>
      <c r="G72" s="2603"/>
      <c r="H72" s="2604" t="s">
        <v>61</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61</v>
      </c>
      <c r="Z72" s="1815"/>
      <c r="AA72" s="1799">
        <v>1</v>
      </c>
      <c r="AB72" s="1250"/>
      <c r="AD72" s="1644" t="s">
        <v>2072</v>
      </c>
    </row>
    <row s="1643" customFormat="1" customHeight="1" ht="10.5">
      <c r="A73" s="1174"/>
      <c r="B73" s="1174"/>
      <c r="C73" s="1174"/>
      <c r="D73" s="1168"/>
      <c r="E73" s="955"/>
      <c r="F73" s="2602"/>
      <c r="G73" s="2603"/>
      <c r="H73" s="2605"/>
      <c r="I73" s="2607"/>
      <c r="J73" s="2570"/>
      <c r="K73" s="2608"/>
      <c r="L73" s="2571"/>
      <c r="M73" s="2571"/>
      <c r="N73" s="2572"/>
      <c r="O73" s="2572"/>
      <c r="P73" s="2573"/>
      <c r="Q73" s="2568"/>
      <c r="R73" s="2568"/>
      <c r="S73" s="2568"/>
      <c r="T73" s="2570"/>
      <c r="U73" s="2568"/>
      <c r="V73" s="2568"/>
      <c r="W73" s="2568"/>
      <c r="X73" s="2570"/>
      <c r="Y73" s="2567"/>
      <c r="Z73" s="355"/>
      <c r="AA73" s="580"/>
      <c r="AB73" s="660" t="s">
        <v>1041</v>
      </c>
    </row>
    <row r="75" s="1822" customFormat="1" customHeight="1" ht="11.25">
      <c r="A75" s="1822" t="s">
        <v>2073</v>
      </c>
    </row>
    <row r="77" s="1643" customFormat="1" customHeight="1" ht="27">
      <c r="A77" s="1174"/>
      <c r="B77" s="1174"/>
      <c r="C77" s="1174"/>
      <c r="D77" s="1168"/>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50"/>
      <c r="AD77" s="1644" t="s">
        <v>2072</v>
      </c>
    </row>
    <row r="79" s="1822" customFormat="1" customHeight="1" ht="11.25">
      <c r="A79" s="1822" t="s">
        <v>2074</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3"/>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3" customFormat="1" customHeight="1" ht="0.75">
      <c r="A82" s="1174"/>
      <c r="B82" s="1174"/>
      <c r="C82" s="1174"/>
      <c r="D82" s="1168"/>
      <c r="E82" s="1178"/>
      <c r="F82" s="2557"/>
      <c r="G82" s="2536"/>
      <c r="H82" s="2561" t="s">
        <v>393</v>
      </c>
      <c r="I82" s="2562"/>
      <c r="J82" s="2563"/>
      <c r="K82" s="2563"/>
      <c r="L82" s="2555"/>
      <c r="M82" s="2289"/>
      <c r="N82" s="2041"/>
      <c r="O82" s="2040"/>
      <c r="P82" s="2041"/>
      <c r="Q82" s="2041"/>
      <c r="R82" s="2041"/>
      <c r="S82" s="2041"/>
      <c r="T82" s="2041"/>
      <c r="U82" s="2041"/>
      <c r="V82" s="2041"/>
      <c r="W82" s="2041"/>
      <c r="X82" s="2041"/>
      <c r="Y82" s="2041"/>
      <c r="Z82" s="2041"/>
      <c r="AA82" s="2041"/>
      <c r="AB82" s="2041"/>
      <c r="AC82" s="2041"/>
      <c r="AD82" s="2041"/>
      <c r="AE82" s="2041"/>
      <c r="AF82" s="2559"/>
      <c r="AG82" s="2555"/>
      <c r="AH82" s="2555"/>
      <c r="AI82" s="2559"/>
      <c r="AJ82" s="2555"/>
      <c r="AK82" s="2555"/>
      <c r="AL82" s="1993"/>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3" customFormat="1" customHeight="1" ht="0.75">
      <c r="A83" s="1174"/>
      <c r="B83" s="1174"/>
      <c r="C83" s="1174"/>
      <c r="D83" s="1168"/>
      <c r="E83" s="1178"/>
      <c r="F83" s="2557"/>
      <c r="G83" s="2536"/>
      <c r="H83" s="2561"/>
      <c r="I83" s="2562"/>
      <c r="J83" s="2563"/>
      <c r="K83" s="2563"/>
      <c r="L83" s="2555"/>
      <c r="M83" s="2289"/>
      <c r="N83" s="2564"/>
      <c r="O83" s="2565"/>
      <c r="P83" s="2609"/>
      <c r="Q83" s="2560"/>
      <c r="R83" s="2560"/>
      <c r="S83" s="2560"/>
      <c r="T83" s="2560"/>
      <c r="U83" s="2560"/>
      <c r="V83" s="2560"/>
      <c r="W83" s="2560"/>
      <c r="X83" s="2560"/>
      <c r="Y83" s="2560"/>
      <c r="Z83" s="2042"/>
      <c r="AA83" s="2043"/>
      <c r="AB83" s="2043"/>
      <c r="AC83" s="2044"/>
      <c r="AD83" s="2044"/>
      <c r="AE83" s="2045"/>
      <c r="AF83" s="2559"/>
      <c r="AG83" s="2555"/>
      <c r="AH83" s="2555"/>
      <c r="AI83" s="2559"/>
      <c r="AJ83" s="2555"/>
      <c r="AK83" s="2555"/>
      <c r="AL83" s="1993"/>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3" customFormat="1" customHeight="1" ht="0.75">
      <c r="A84" s="1174"/>
      <c r="B84" s="1174"/>
      <c r="C84" s="1174"/>
      <c r="D84" s="1168"/>
      <c r="E84" s="1178"/>
      <c r="F84" s="2557"/>
      <c r="G84" s="2536"/>
      <c r="H84" s="2561"/>
      <c r="I84" s="2562"/>
      <c r="J84" s="2563"/>
      <c r="K84" s="2563"/>
      <c r="L84" s="2555"/>
      <c r="M84" s="2289"/>
      <c r="N84" s="2564"/>
      <c r="O84" s="2565"/>
      <c r="P84" s="2610"/>
      <c r="Q84" s="2560"/>
      <c r="R84" s="2560"/>
      <c r="S84" s="2560"/>
      <c r="T84" s="2560"/>
      <c r="U84" s="2560"/>
      <c r="V84" s="2560"/>
      <c r="W84" s="2560"/>
      <c r="X84" s="2560"/>
      <c r="Y84" s="2560"/>
      <c r="Z84" s="2046"/>
      <c r="AA84" s="2047"/>
      <c r="AB84" s="2048"/>
      <c r="AC84" s="2049"/>
      <c r="AD84" s="2048"/>
      <c r="AE84" s="2049"/>
      <c r="AF84" s="2559"/>
      <c r="AG84" s="2555"/>
      <c r="AH84" s="2555"/>
      <c r="AI84" s="2559"/>
      <c r="AJ84" s="2555"/>
      <c r="AK84" s="2555"/>
      <c r="AL84" s="1993"/>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3" customFormat="1" customHeight="1" ht="0.75">
      <c r="A85" s="1174"/>
      <c r="B85" s="1174"/>
      <c r="C85" s="1174"/>
      <c r="D85" s="1168"/>
      <c r="E85" s="1178"/>
      <c r="F85" s="2557"/>
      <c r="G85" s="2536"/>
      <c r="H85" s="2561"/>
      <c r="I85" s="2562"/>
      <c r="J85" s="2563"/>
      <c r="K85" s="2563"/>
      <c r="L85" s="2555"/>
      <c r="M85" s="2289"/>
      <c r="N85" s="2564"/>
      <c r="O85" s="2565"/>
      <c r="P85" s="2611"/>
      <c r="Q85" s="2560"/>
      <c r="R85" s="2560"/>
      <c r="S85" s="2560"/>
      <c r="T85" s="2560"/>
      <c r="U85" s="2560"/>
      <c r="V85" s="2560"/>
      <c r="W85" s="2560"/>
      <c r="X85" s="2560"/>
      <c r="Y85" s="2560"/>
      <c r="Z85" s="2042"/>
      <c r="AA85" s="2043"/>
      <c r="AB85" s="2050"/>
      <c r="AC85" s="2044"/>
      <c r="AD85" s="2044"/>
      <c r="AE85" s="2051"/>
      <c r="AF85" s="2559"/>
      <c r="AG85" s="2555"/>
      <c r="AH85" s="2555"/>
      <c r="AI85" s="2559"/>
      <c r="AJ85" s="2555"/>
      <c r="AK85" s="2555"/>
      <c r="AL85" s="1993"/>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3" customFormat="1" customHeight="1" ht="0.75">
      <c r="A86" s="1174"/>
      <c r="B86" s="1174"/>
      <c r="C86" s="1174"/>
      <c r="D86" s="1168"/>
      <c r="E86" s="1178"/>
      <c r="F86" s="2557"/>
      <c r="G86" s="2536"/>
      <c r="H86" s="2561"/>
      <c r="I86" s="2562"/>
      <c r="J86" s="2563"/>
      <c r="K86" s="2563"/>
      <c r="L86" s="2555"/>
      <c r="M86" s="2289"/>
      <c r="N86" s="2043"/>
      <c r="O86" s="2043"/>
      <c r="P86" s="2050"/>
      <c r="Q86" s="2043"/>
      <c r="R86" s="2043"/>
      <c r="S86" s="2043"/>
      <c r="T86" s="2043"/>
      <c r="U86" s="2043"/>
      <c r="V86" s="2043"/>
      <c r="W86" s="2043"/>
      <c r="X86" s="2043"/>
      <c r="Y86" s="2043"/>
      <c r="Z86" s="2043"/>
      <c r="AA86" s="2043"/>
      <c r="AB86" s="2043"/>
      <c r="AC86" s="2043"/>
      <c r="AD86" s="2043"/>
      <c r="AE86" s="2052"/>
      <c r="AF86" s="2559"/>
      <c r="AG86" s="2555"/>
      <c r="AH86" s="2555"/>
      <c r="AI86" s="2559"/>
      <c r="AJ86" s="2555"/>
      <c r="AK86" s="2555"/>
      <c r="AL86" s="1993"/>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3" customFormat="1" customHeight="1" ht="12">
      <c r="A87" s="1174"/>
      <c r="B87" s="1174"/>
      <c r="C87" s="1174"/>
      <c r="D87" s="1168"/>
      <c r="E87" s="1178"/>
      <c r="F87" s="2558"/>
      <c r="G87" s="1198"/>
      <c r="H87" s="1198"/>
      <c r="I87" s="2556" t="s">
        <v>1215</v>
      </c>
      <c r="J87" s="2556"/>
      <c r="K87" s="2556"/>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3"/>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2075</v>
      </c>
    </row>
    <row r="91" s="1643" customFormat="1" customHeight="1" ht="11.25">
      <c r="A91" s="1174"/>
      <c r="B91" s="1174"/>
      <c r="C91" s="1174"/>
      <c r="D91" s="1168"/>
      <c r="E91" s="1178"/>
      <c r="F91" s="1836"/>
      <c r="G91" s="1837"/>
      <c r="H91" s="1837"/>
      <c r="I91" s="1771"/>
      <c r="J91" s="1771"/>
      <c r="K91" s="1838"/>
      <c r="L91" s="1771"/>
      <c r="M91" s="1837"/>
      <c r="N91" s="2529"/>
      <c r="O91" s="2612">
        <v>1</v>
      </c>
      <c r="P91" s="2531" t="s">
        <v>19</v>
      </c>
      <c r="Q91" s="2534" t="s">
        <v>22</v>
      </c>
      <c r="R91" s="2534" t="s">
        <v>22</v>
      </c>
      <c r="S91" s="2534" t="s">
        <v>22</v>
      </c>
      <c r="T91" s="2534" t="s">
        <v>22</v>
      </c>
      <c r="U91" s="2534" t="s">
        <v>22</v>
      </c>
      <c r="V91" s="2534" t="s">
        <v>22</v>
      </c>
      <c r="W91" s="2534" t="s">
        <v>22</v>
      </c>
      <c r="X91" s="2534" t="s">
        <v>22</v>
      </c>
      <c r="Y91" s="2534"/>
      <c r="Z91" s="1183"/>
      <c r="AA91" s="1184"/>
      <c r="AB91" s="1184"/>
      <c r="AC91" s="1188"/>
      <c r="AD91" s="1188"/>
      <c r="AE91" s="1188"/>
      <c r="AF91" s="2095"/>
      <c r="AG91" s="1766"/>
      <c r="AH91" s="1766"/>
      <c r="AI91" s="2095"/>
      <c r="AJ91" s="1766"/>
      <c r="AK91" s="1992"/>
      <c r="AL91" s="1993"/>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3" customFormat="1" customHeight="1" ht="11.25">
      <c r="A92" s="1174"/>
      <c r="B92" s="1174"/>
      <c r="C92" s="1174"/>
      <c r="D92" s="1168"/>
      <c r="E92" s="1178"/>
      <c r="F92" s="1836"/>
      <c r="G92" s="1837"/>
      <c r="H92" s="1837"/>
      <c r="I92" s="1772"/>
      <c r="J92" s="1772"/>
      <c r="K92" s="1838"/>
      <c r="L92" s="1772"/>
      <c r="M92" s="1837"/>
      <c r="N92" s="2529"/>
      <c r="O92" s="2612"/>
      <c r="P92" s="2532"/>
      <c r="Q92" s="2534"/>
      <c r="R92" s="2534"/>
      <c r="S92" s="2535"/>
      <c r="T92" s="2534"/>
      <c r="U92" s="2534"/>
      <c r="V92" s="2534"/>
      <c r="W92" s="2534"/>
      <c r="X92" s="2534"/>
      <c r="Y92" s="2534"/>
      <c r="Z92" s="1835"/>
      <c r="AA92" s="1801">
        <v>1</v>
      </c>
      <c r="AB92" s="1187"/>
      <c r="AC92" s="1177"/>
      <c r="AD92" s="1187">
        <f>AB92</f>
        <v>0</v>
      </c>
      <c r="AE92" s="732"/>
      <c r="AF92" s="2096"/>
      <c r="AG92" s="1766"/>
      <c r="AH92" s="1766"/>
      <c r="AI92" s="2096"/>
      <c r="AJ92" s="1766"/>
      <c r="AK92" s="1992"/>
      <c r="AL92" s="1993"/>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3" customFormat="1" customHeight="1" ht="11.25">
      <c r="A93" s="1174"/>
      <c r="B93" s="1174"/>
      <c r="C93" s="1174"/>
      <c r="D93" s="1168"/>
      <c r="E93" s="1178"/>
      <c r="F93" s="1836"/>
      <c r="G93" s="1837"/>
      <c r="H93" s="1837"/>
      <c r="I93" s="1773"/>
      <c r="J93" s="1773"/>
      <c r="K93" s="1838"/>
      <c r="L93" s="1773"/>
      <c r="M93" s="1837"/>
      <c r="N93" s="2529"/>
      <c r="O93" s="2612"/>
      <c r="P93" s="2533"/>
      <c r="Q93" s="2534"/>
      <c r="R93" s="2534"/>
      <c r="S93" s="2535"/>
      <c r="T93" s="2534"/>
      <c r="U93" s="2534"/>
      <c r="V93" s="2534"/>
      <c r="W93" s="2534"/>
      <c r="X93" s="2534"/>
      <c r="Y93" s="2534"/>
      <c r="Z93" s="1183"/>
      <c r="AA93" s="1184"/>
      <c r="AB93" s="1249" t="s">
        <v>1086</v>
      </c>
      <c r="AC93" s="1188"/>
      <c r="AD93" s="1188"/>
      <c r="AE93" s="1188"/>
      <c r="AF93" s="2097"/>
      <c r="AG93" s="1766"/>
      <c r="AH93" s="1766"/>
      <c r="AI93" s="2097"/>
      <c r="AJ93" s="1766"/>
      <c r="AK93" s="1992"/>
      <c r="AL93" s="1993"/>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2076</v>
      </c>
    </row>
    <row r="97" s="1643" customFormat="1" customHeight="1" ht="11.25">
      <c r="A97" s="1174"/>
      <c r="B97" s="1174"/>
      <c r="C97" s="1174"/>
      <c r="D97" s="1168"/>
      <c r="E97" s="1178"/>
      <c r="F97" s="1837"/>
      <c r="G97" s="1837"/>
      <c r="H97" s="1837"/>
      <c r="I97" s="1837"/>
      <c r="J97" s="1837"/>
      <c r="K97" s="1837"/>
      <c r="L97" s="1837"/>
      <c r="M97" s="1837"/>
      <c r="N97" s="1837"/>
      <c r="O97" s="1837"/>
      <c r="P97" s="1837"/>
      <c r="Q97" s="1837"/>
      <c r="R97" s="1837"/>
      <c r="S97" s="1837"/>
      <c r="T97" s="1837"/>
      <c r="U97" s="1837"/>
      <c r="V97" s="1837"/>
      <c r="W97" s="1837"/>
      <c r="X97" s="1837"/>
      <c r="Y97" s="1837"/>
      <c r="Z97" s="1839"/>
      <c r="AA97" s="1821">
        <v>1</v>
      </c>
      <c r="AB97" s="1187"/>
      <c r="AC97" s="1177"/>
      <c r="AD97" s="1187">
        <f>AB97</f>
        <v>0</v>
      </c>
      <c r="AE97" s="1177"/>
      <c r="AF97" s="2094"/>
      <c r="AG97" s="1766"/>
      <c r="AH97" s="1766"/>
      <c r="AI97" s="2094"/>
      <c r="AJ97" s="1766"/>
      <c r="AK97" s="1992"/>
      <c r="AL97" s="1993"/>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2077</v>
      </c>
    </row>
    <row r="101" s="1643" customFormat="1" customHeight="1" ht="11.25">
      <c r="A101" s="1174"/>
      <c r="B101" s="1174"/>
      <c r="C101" s="1174"/>
      <c r="D101" s="1168"/>
      <c r="E101" s="1178"/>
      <c r="F101" s="1836"/>
      <c r="G101" s="1837"/>
      <c r="H101" s="2536" t="s">
        <v>118</v>
      </c>
      <c r="I101" s="2537"/>
      <c r="J101" s="2506"/>
      <c r="K101" s="2538"/>
      <c r="L101" s="2128" t="s">
        <v>19</v>
      </c>
      <c r="M101" s="2129"/>
      <c r="N101" s="1991"/>
      <c r="O101" s="1185" t="s">
        <v>393</v>
      </c>
      <c r="P101" s="1186"/>
      <c r="Q101" s="1186"/>
      <c r="R101" s="1186"/>
      <c r="S101" s="1186"/>
      <c r="T101" s="1186"/>
      <c r="U101" s="1186"/>
      <c r="V101" s="1186"/>
      <c r="W101" s="1186"/>
      <c r="X101" s="1186"/>
      <c r="Y101" s="1186"/>
      <c r="Z101" s="1186"/>
      <c r="AA101" s="1186"/>
      <c r="AB101" s="1186"/>
      <c r="AC101" s="1186"/>
      <c r="AD101" s="1186"/>
      <c r="AE101" s="1186"/>
      <c r="AF101" s="2527"/>
      <c r="AG101" s="2528"/>
      <c r="AH101" s="2528"/>
      <c r="AI101" s="2527"/>
      <c r="AJ101" s="2528"/>
      <c r="AK101" s="2528"/>
      <c r="AL101" s="1993"/>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3" customFormat="1" customHeight="1" ht="11.25">
      <c r="A102" s="1174"/>
      <c r="B102" s="1174"/>
      <c r="C102" s="1174"/>
      <c r="D102" s="1168"/>
      <c r="E102" s="1178"/>
      <c r="F102" s="1836"/>
      <c r="G102" s="1837"/>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83"/>
      <c r="AA102" s="1184"/>
      <c r="AB102" s="1184"/>
      <c r="AC102" s="1188"/>
      <c r="AD102" s="1188"/>
      <c r="AE102" s="1189"/>
      <c r="AF102" s="2527"/>
      <c r="AG102" s="2528"/>
      <c r="AH102" s="2528"/>
      <c r="AI102" s="2527"/>
      <c r="AJ102" s="2528"/>
      <c r="AK102" s="2528"/>
      <c r="AL102" s="1993"/>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3" customFormat="1" customHeight="1" ht="11.25">
      <c r="A103" s="1174"/>
      <c r="B103" s="1174"/>
      <c r="C103" s="1174"/>
      <c r="D103" s="1168"/>
      <c r="E103" s="1178"/>
      <c r="F103" s="1836"/>
      <c r="G103" s="1837"/>
      <c r="H103" s="2536"/>
      <c r="I103" s="2537"/>
      <c r="J103" s="2506"/>
      <c r="K103" s="2538"/>
      <c r="L103" s="2128"/>
      <c r="M103" s="2129"/>
      <c r="N103" s="2529"/>
      <c r="O103" s="2530"/>
      <c r="P103" s="2532"/>
      <c r="Q103" s="2534"/>
      <c r="R103" s="2534"/>
      <c r="S103" s="2535"/>
      <c r="T103" s="2534"/>
      <c r="U103" s="2534"/>
      <c r="V103" s="2534"/>
      <c r="W103" s="2534"/>
      <c r="X103" s="2534"/>
      <c r="Y103" s="2534"/>
      <c r="Z103" s="1835"/>
      <c r="AA103" s="1801">
        <v>1</v>
      </c>
      <c r="AB103" s="1187"/>
      <c r="AC103" s="1177"/>
      <c r="AD103" s="1187">
        <f>AB103</f>
        <v>0</v>
      </c>
      <c r="AE103" s="1177"/>
      <c r="AF103" s="2527"/>
      <c r="AG103" s="2528"/>
      <c r="AH103" s="2528"/>
      <c r="AI103" s="2527"/>
      <c r="AJ103" s="2528"/>
      <c r="AK103" s="2528"/>
      <c r="AL103" s="1993"/>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3" customFormat="1" customHeight="1" ht="11.25">
      <c r="A104" s="1174"/>
      <c r="B104" s="1174"/>
      <c r="C104" s="1174"/>
      <c r="D104" s="1168"/>
      <c r="E104" s="1178"/>
      <c r="F104" s="1836"/>
      <c r="G104" s="1837"/>
      <c r="H104" s="2536"/>
      <c r="I104" s="2537"/>
      <c r="J104" s="2506"/>
      <c r="K104" s="2538"/>
      <c r="L104" s="2128"/>
      <c r="M104" s="2129"/>
      <c r="N104" s="2529"/>
      <c r="O104" s="2530"/>
      <c r="P104" s="2533"/>
      <c r="Q104" s="2534"/>
      <c r="R104" s="2534"/>
      <c r="S104" s="2535"/>
      <c r="T104" s="2534"/>
      <c r="U104" s="2534"/>
      <c r="V104" s="2534"/>
      <c r="W104" s="2534"/>
      <c r="X104" s="2534"/>
      <c r="Y104" s="2534"/>
      <c r="Z104" s="1183"/>
      <c r="AA104" s="1184"/>
      <c r="AB104" s="1249" t="s">
        <v>1086</v>
      </c>
      <c r="AC104" s="1188"/>
      <c r="AD104" s="1188"/>
      <c r="AE104" s="1190"/>
      <c r="AF104" s="2527"/>
      <c r="AG104" s="2528"/>
      <c r="AH104" s="2528"/>
      <c r="AI104" s="2527"/>
      <c r="AJ104" s="2528"/>
      <c r="AK104" s="2528"/>
      <c r="AL104" s="1993"/>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3" customFormat="1" customHeight="1" ht="11.25">
      <c r="A105" s="1174"/>
      <c r="B105" s="1174"/>
      <c r="C105" s="1174"/>
      <c r="D105" s="1168"/>
      <c r="E105" s="1178"/>
      <c r="F105" s="1836"/>
      <c r="G105" s="1837"/>
      <c r="H105" s="2536"/>
      <c r="I105" s="2537"/>
      <c r="J105" s="2506"/>
      <c r="K105" s="2538"/>
      <c r="L105" s="2128"/>
      <c r="M105" s="2129"/>
      <c r="N105" s="1183"/>
      <c r="O105" s="1184"/>
      <c r="P105" s="1176" t="s">
        <v>1087</v>
      </c>
      <c r="Q105" s="1184"/>
      <c r="R105" s="1184"/>
      <c r="S105" s="1184"/>
      <c r="T105" s="1184"/>
      <c r="U105" s="1184"/>
      <c r="V105" s="1184"/>
      <c r="W105" s="1184"/>
      <c r="X105" s="1184"/>
      <c r="Y105" s="1184"/>
      <c r="Z105" s="1184"/>
      <c r="AA105" s="1184"/>
      <c r="AB105" s="1184"/>
      <c r="AC105" s="1184"/>
      <c r="AD105" s="1184"/>
      <c r="AE105" s="1191"/>
      <c r="AF105" s="2527"/>
      <c r="AG105" s="2528"/>
      <c r="AH105" s="2528"/>
      <c r="AI105" s="2527"/>
      <c r="AJ105" s="2528"/>
      <c r="AK105" s="2528"/>
      <c r="AL105" s="1993"/>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2078</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0"/>
      <c r="F110" s="1216">
        <v>1</v>
      </c>
      <c r="G110" s="1217"/>
      <c r="H110" s="1218"/>
      <c r="I110" s="1987"/>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7" t="s">
        <v>1318</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2" customFormat="1" customHeight="1" ht="11.25">
      <c r="A113" s="1822" t="s">
        <v>2079</v>
      </c>
    </row>
    <row r="115" s="1855" customFormat="1" customHeight="1" ht="15">
      <c r="A115" s="631"/>
      <c r="B115" s="632"/>
      <c r="C115" s="632"/>
      <c r="D115" s="2599" t="s">
        <v>118</v>
      </c>
      <c r="E115" s="2398" t="s">
        <v>114</v>
      </c>
      <c r="F115" s="2399"/>
      <c r="G115" s="2400"/>
      <c r="H115" s="2404" t="str">
        <f>IF(A115="","",INDEX(DIFFERENTIATION_UNMERGE_VD,MATCH(A115,DIFFERENTIATION_ID_DIFF,0)))</f>
        <v/>
      </c>
      <c r="I115" s="2404"/>
      <c r="J115" s="2404"/>
      <c r="K115" s="2404"/>
      <c r="L115" s="2404"/>
      <c r="M115" s="2404"/>
      <c r="N115" s="2404"/>
      <c r="O115" s="2404"/>
      <c r="P115" s="2404"/>
      <c r="Q115" s="2404"/>
      <c r="R115" s="2404"/>
      <c r="S115" s="727"/>
      <c r="T115" s="724"/>
      <c r="U115" s="633"/>
      <c r="V115" s="633"/>
      <c r="W115" s="634"/>
      <c r="X115" s="634"/>
      <c r="Y115" s="634"/>
      <c r="Z115" s="634"/>
      <c r="AA115" s="635"/>
      <c r="AB115" s="636"/>
      <c r="AC115" s="2396"/>
      <c r="AD115" s="637"/>
      <c r="AE115" s="638" t="s">
        <v>22</v>
      </c>
      <c r="AF115" s="638"/>
      <c r="AG115" s="639" t="s">
        <v>626</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5" customFormat="1" customHeight="1" ht="15">
      <c r="A116" s="631"/>
      <c r="B116" s="632"/>
      <c r="C116" s="632"/>
      <c r="D116" s="2600"/>
      <c r="E116" s="2398" t="s">
        <v>581</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7"/>
      <c r="T116" s="724"/>
      <c r="U116" s="633"/>
      <c r="V116" s="633"/>
      <c r="W116" s="634"/>
      <c r="X116" s="634"/>
      <c r="Y116" s="634"/>
      <c r="Z116" s="634"/>
      <c r="AA116" s="635"/>
      <c r="AB116" s="636"/>
      <c r="AC116" s="2396"/>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5" customFormat="1" customHeight="1" ht="15">
      <c r="A117" s="631"/>
      <c r="B117" s="632"/>
      <c r="C117" s="632"/>
      <c r="D117" s="2600"/>
      <c r="E117" s="2398" t="s">
        <v>582</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7"/>
      <c r="T117" s="724"/>
      <c r="U117" s="633"/>
      <c r="V117" s="633"/>
      <c r="W117" s="634"/>
      <c r="X117" s="634"/>
      <c r="Y117" s="634"/>
      <c r="Z117" s="634"/>
      <c r="AA117" s="635"/>
      <c r="AB117" s="636"/>
      <c r="AC117" s="2396"/>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5" customFormat="1" customHeight="1" ht="24.75">
      <c r="A118" s="1813"/>
      <c r="B118" s="1168"/>
      <c r="C118" s="420"/>
      <c r="D118" s="2600"/>
      <c r="E118" s="2397" t="s">
        <v>627</v>
      </c>
      <c r="F118" s="2397"/>
      <c r="G118" s="2397"/>
      <c r="H118" s="2397"/>
      <c r="I118" s="2397"/>
      <c r="J118" s="2397"/>
      <c r="K118" s="2397"/>
      <c r="L118" s="2397"/>
      <c r="M118" s="2397"/>
      <c r="N118" s="2397"/>
      <c r="O118" s="2397"/>
      <c r="P118" s="2397"/>
      <c r="Q118" s="566">
        <f>SUMIF(T119:T120,"i",Q119:Q120)</f>
        <v>0</v>
      </c>
      <c r="R118" s="1025"/>
      <c r="S118" s="1805" t="s">
        <v>628</v>
      </c>
      <c r="T118" s="725" t="s">
        <v>629</v>
      </c>
      <c r="U118" s="2395">
        <v>1</v>
      </c>
      <c r="V118" s="2395">
        <f>INDEX(B_FHD_FLAG_INDEX_1,1,MATCH(A115,B_FHD_FLAG_DIFFERENTIATION,0))</f>
      </c>
      <c r="W118" s="1168"/>
      <c r="X118" s="1168"/>
      <c r="Y118" s="1168"/>
      <c r="Z118" s="1168"/>
      <c r="AA118" s="1644"/>
      <c r="AB118" s="1168"/>
      <c r="AC118" s="2396"/>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5" customFormat="1" customHeight="1" ht="11.25" hidden="1">
      <c r="A119" s="1800"/>
      <c r="B119" s="1644"/>
      <c r="C119" s="1644"/>
      <c r="D119" s="2600"/>
      <c r="E119" s="643"/>
      <c r="F119" s="643">
        <v>0</v>
      </c>
      <c r="G119" s="643"/>
      <c r="H119" s="643"/>
      <c r="I119" s="643"/>
      <c r="J119" s="643"/>
      <c r="K119" s="643"/>
      <c r="L119" s="643"/>
      <c r="M119" s="643"/>
      <c r="N119" s="643"/>
      <c r="O119" s="643"/>
      <c r="P119" s="643"/>
      <c r="Q119" s="643"/>
      <c r="R119" s="643"/>
      <c r="S119" s="644"/>
      <c r="T119" s="726"/>
      <c r="U119" s="2395"/>
      <c r="V119" s="2395"/>
      <c r="W119" s="1644"/>
      <c r="X119" s="1644"/>
      <c r="Y119" s="1644"/>
      <c r="Z119" s="1644"/>
      <c r="AA119" s="1644"/>
      <c r="AB119" s="1168"/>
      <c r="AC119" s="2396"/>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5" customFormat="1" customHeight="1" ht="11.25">
      <c r="A120" s="1813"/>
      <c r="B120" s="1168"/>
      <c r="C120" s="420"/>
      <c r="D120" s="2600"/>
      <c r="E120" s="657" t="s">
        <v>22</v>
      </c>
      <c r="F120" s="1176" t="s">
        <v>22</v>
      </c>
      <c r="G120" s="1176" t="s">
        <v>632</v>
      </c>
      <c r="H120" s="659" t="s">
        <v>22</v>
      </c>
      <c r="I120" s="659"/>
      <c r="J120" s="659"/>
      <c r="K120" s="659"/>
      <c r="L120" s="659"/>
      <c r="M120" s="659"/>
      <c r="N120" s="659"/>
      <c r="O120" s="659"/>
      <c r="P120" s="659"/>
      <c r="Q120" s="659"/>
      <c r="R120" s="660"/>
      <c r="S120" s="661"/>
      <c r="T120" s="726"/>
      <c r="U120" s="2395"/>
      <c r="V120" s="2395"/>
      <c r="W120" s="1168"/>
      <c r="X120" s="1168"/>
      <c r="Y120" s="1168"/>
      <c r="Z120" s="1168"/>
      <c r="AA120" s="1644"/>
      <c r="AB120" s="1168"/>
      <c r="AC120" s="2396"/>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5" customFormat="1" customHeight="1" ht="24.75">
      <c r="A121" s="1813"/>
      <c r="B121" s="1168"/>
      <c r="C121" s="420"/>
      <c r="D121" s="2600"/>
      <c r="E121" s="2397" t="s">
        <v>630</v>
      </c>
      <c r="F121" s="2397"/>
      <c r="G121" s="2397"/>
      <c r="H121" s="2397"/>
      <c r="I121" s="2397"/>
      <c r="J121" s="2397"/>
      <c r="K121" s="2397"/>
      <c r="L121" s="2397"/>
      <c r="M121" s="2397"/>
      <c r="N121" s="2397"/>
      <c r="O121" s="2397"/>
      <c r="P121" s="2397"/>
      <c r="Q121" s="566">
        <f>SUMIF(T122:T123,"i",Q122:Q123)</f>
        <v>0</v>
      </c>
      <c r="R121" s="1025"/>
      <c r="S121" s="1805" t="s">
        <v>631</v>
      </c>
      <c r="T121" s="725" t="s">
        <v>629</v>
      </c>
      <c r="U121" s="2395">
        <v>1</v>
      </c>
      <c r="V121" s="2395">
        <f>INDEX(B_FHD_FLAG_INDEX_2,1,MATCH(A115,B_FHD_FLAG_DIFFERENTIATION,0))</f>
      </c>
      <c r="W121" s="1168"/>
      <c r="X121" s="1168"/>
      <c r="Y121" s="1168"/>
      <c r="Z121" s="1168"/>
      <c r="AA121" s="1644"/>
      <c r="AB121" s="1168"/>
      <c r="AC121" s="1803"/>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5" customFormat="1" customHeight="1" ht="11.25" hidden="1">
      <c r="A122" s="1800"/>
      <c r="B122" s="1644"/>
      <c r="C122" s="1644"/>
      <c r="D122" s="2600"/>
      <c r="E122" s="643"/>
      <c r="F122" s="643">
        <v>0</v>
      </c>
      <c r="G122" s="643"/>
      <c r="H122" s="643"/>
      <c r="I122" s="643"/>
      <c r="J122" s="643"/>
      <c r="K122" s="643"/>
      <c r="L122" s="643"/>
      <c r="M122" s="643"/>
      <c r="N122" s="643"/>
      <c r="O122" s="643"/>
      <c r="P122" s="643"/>
      <c r="Q122" s="643"/>
      <c r="R122" s="643"/>
      <c r="S122" s="644"/>
      <c r="T122" s="726"/>
      <c r="U122" s="2395"/>
      <c r="V122" s="2395"/>
      <c r="W122" s="1644"/>
      <c r="X122" s="1644"/>
      <c r="Y122" s="1644"/>
      <c r="Z122" s="1644"/>
      <c r="AA122" s="1644"/>
      <c r="AB122" s="1168"/>
      <c r="AC122" s="1803"/>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5" customFormat="1" customHeight="1" ht="11.25">
      <c r="A123" s="1813"/>
      <c r="B123" s="1168"/>
      <c r="C123" s="420"/>
      <c r="D123" s="2601"/>
      <c r="E123" s="657" t="s">
        <v>22</v>
      </c>
      <c r="F123" s="1176" t="s">
        <v>22</v>
      </c>
      <c r="G123" s="1176" t="s">
        <v>632</v>
      </c>
      <c r="H123" s="659" t="s">
        <v>22</v>
      </c>
      <c r="I123" s="659"/>
      <c r="J123" s="659"/>
      <c r="K123" s="659"/>
      <c r="L123" s="659"/>
      <c r="M123" s="659"/>
      <c r="N123" s="659"/>
      <c r="O123" s="659"/>
      <c r="P123" s="659"/>
      <c r="Q123" s="659"/>
      <c r="R123" s="660"/>
      <c r="S123" s="661"/>
      <c r="T123" s="726"/>
      <c r="U123" s="2395"/>
      <c r="V123" s="2395"/>
      <c r="W123" s="1168"/>
      <c r="X123" s="1168"/>
      <c r="Y123" s="1168"/>
      <c r="Z123" s="1168"/>
      <c r="AA123" s="1644"/>
      <c r="AB123" s="1168"/>
      <c r="AC123" s="1803"/>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2" customFormat="1" customHeight="1" ht="11.25">
      <c r="A125" s="1822" t="s">
        <v>2080</v>
      </c>
    </row>
    <row r="127" s="1855" customFormat="1" customHeight="1" ht="15" hidden="1">
      <c r="A127" s="631"/>
      <c r="B127" s="632"/>
      <c r="C127" s="632"/>
      <c r="D127" s="2599" t="s">
        <v>118</v>
      </c>
      <c r="E127" s="2398" t="s">
        <v>114</v>
      </c>
      <c r="F127" s="2399"/>
      <c r="G127" s="2400"/>
      <c r="H127" s="2404" t="str">
        <f>IF(A127="","",INDEX(DIFFERENTIATION_UNMERGE_VD,MATCH(A127,DIFFERENTIATION_ID_DIFF,0)))</f>
        <v/>
      </c>
      <c r="I127" s="2404"/>
      <c r="J127" s="2404"/>
      <c r="K127" s="2404"/>
      <c r="L127" s="2404"/>
      <c r="M127" s="2404"/>
      <c r="N127" s="2404"/>
      <c r="O127" s="2404"/>
      <c r="P127" s="2404"/>
      <c r="Q127" s="2404"/>
      <c r="R127" s="2404"/>
      <c r="S127" s="727"/>
      <c r="T127" s="724"/>
      <c r="U127" s="633"/>
      <c r="V127" s="633"/>
      <c r="W127" s="634"/>
      <c r="X127" s="634"/>
      <c r="Y127" s="634"/>
      <c r="Z127" s="634"/>
      <c r="AA127" s="635"/>
      <c r="AB127" s="636"/>
      <c r="AC127" s="2396"/>
      <c r="AD127" s="637"/>
      <c r="AE127" s="638" t="s">
        <v>22</v>
      </c>
      <c r="AF127" s="638"/>
      <c r="AG127" s="639" t="s">
        <v>626</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5" customFormat="1" customHeight="1" ht="15" hidden="1">
      <c r="A128" s="631"/>
      <c r="B128" s="632"/>
      <c r="C128" s="632"/>
      <c r="D128" s="2600"/>
      <c r="E128" s="2398" t="s">
        <v>581</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7"/>
      <c r="T128" s="724"/>
      <c r="U128" s="633"/>
      <c r="V128" s="633"/>
      <c r="W128" s="634"/>
      <c r="X128" s="634"/>
      <c r="Y128" s="634"/>
      <c r="Z128" s="634"/>
      <c r="AA128" s="635"/>
      <c r="AB128" s="636"/>
      <c r="AC128" s="2396"/>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5" customFormat="1" customHeight="1" ht="15" hidden="1">
      <c r="A129" s="631"/>
      <c r="B129" s="632"/>
      <c r="C129" s="632"/>
      <c r="D129" s="2600"/>
      <c r="E129" s="2398" t="s">
        <v>582</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7"/>
      <c r="T129" s="724"/>
      <c r="U129" s="633"/>
      <c r="V129" s="633"/>
      <c r="W129" s="634"/>
      <c r="X129" s="634"/>
      <c r="Y129" s="634"/>
      <c r="Z129" s="634"/>
      <c r="AA129" s="635"/>
      <c r="AB129" s="636"/>
      <c r="AC129" s="2396"/>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5" customFormat="1" customHeight="1" ht="24.75" hidden="1">
      <c r="A130" s="1813"/>
      <c r="B130" s="1168"/>
      <c r="C130" s="420"/>
      <c r="D130" s="2600"/>
      <c r="E130" s="2397" t="s">
        <v>627</v>
      </c>
      <c r="F130" s="2397"/>
      <c r="G130" s="2397"/>
      <c r="H130" s="2397"/>
      <c r="I130" s="2397"/>
      <c r="J130" s="2397"/>
      <c r="K130" s="2397"/>
      <c r="L130" s="2397"/>
      <c r="M130" s="2397"/>
      <c r="N130" s="2397"/>
      <c r="O130" s="2397"/>
      <c r="P130" s="2397"/>
      <c r="Q130" s="566">
        <f>SUMIF(T131:T132,"i",Q131:Q132)</f>
        <v>0</v>
      </c>
      <c r="R130" s="1025"/>
      <c r="S130" s="1805" t="s">
        <v>628</v>
      </c>
      <c r="T130" s="725" t="s">
        <v>629</v>
      </c>
      <c r="U130" s="2395">
        <v>1</v>
      </c>
      <c r="V130" s="2395">
        <f>INDEX(B_FHD_FLAG_INDEX_1,1,MATCH(A127,B_FHD_FLAG_DIFFERENTIATION,0))</f>
      </c>
      <c r="W130" s="1168"/>
      <c r="X130" s="1168"/>
      <c r="Y130" s="1168"/>
      <c r="Z130" s="1168"/>
      <c r="AA130" s="1644"/>
      <c r="AB130" s="1168"/>
      <c r="AC130" s="2396"/>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5" customFormat="1" customHeight="1" ht="11.25" hidden="1">
      <c r="A131" s="1800"/>
      <c r="B131" s="1644"/>
      <c r="C131" s="1644"/>
      <c r="D131" s="2600"/>
      <c r="E131" s="643"/>
      <c r="F131" s="643">
        <v>0</v>
      </c>
      <c r="G131" s="643"/>
      <c r="H131" s="643"/>
      <c r="I131" s="643"/>
      <c r="J131" s="643"/>
      <c r="K131" s="643"/>
      <c r="L131" s="643"/>
      <c r="M131" s="643"/>
      <c r="N131" s="643"/>
      <c r="O131" s="643"/>
      <c r="P131" s="643"/>
      <c r="Q131" s="643"/>
      <c r="R131" s="643"/>
      <c r="S131" s="644"/>
      <c r="T131" s="726"/>
      <c r="U131" s="2395"/>
      <c r="V131" s="2395"/>
      <c r="W131" s="1644"/>
      <c r="X131" s="1644"/>
      <c r="Y131" s="1644"/>
      <c r="Z131" s="1644"/>
      <c r="AA131" s="1644"/>
      <c r="AB131" s="1168"/>
      <c r="AC131" s="2396"/>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5" customFormat="1" customHeight="1" ht="11.25" hidden="1">
      <c r="A132" s="1813"/>
      <c r="B132" s="1168"/>
      <c r="C132" s="420"/>
      <c r="D132" s="2600"/>
      <c r="E132" s="657" t="s">
        <v>22</v>
      </c>
      <c r="F132" s="1176" t="s">
        <v>22</v>
      </c>
      <c r="G132" s="1176" t="s">
        <v>632</v>
      </c>
      <c r="H132" s="659" t="s">
        <v>22</v>
      </c>
      <c r="I132" s="659"/>
      <c r="J132" s="659"/>
      <c r="K132" s="659"/>
      <c r="L132" s="659"/>
      <c r="M132" s="659"/>
      <c r="N132" s="659"/>
      <c r="O132" s="659"/>
      <c r="P132" s="659"/>
      <c r="Q132" s="659"/>
      <c r="R132" s="660"/>
      <c r="S132" s="661"/>
      <c r="T132" s="726"/>
      <c r="U132" s="2395"/>
      <c r="V132" s="2395"/>
      <c r="W132" s="1168"/>
      <c r="X132" s="1168"/>
      <c r="Y132" s="1168"/>
      <c r="Z132" s="1168"/>
      <c r="AA132" s="1644"/>
      <c r="AB132" s="1168"/>
      <c r="AC132" s="2396"/>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0"/>
      <c r="B133" s="1644"/>
      <c r="C133" s="1644"/>
      <c r="D133" s="2600"/>
      <c r="E133" s="1047"/>
      <c r="F133" s="1047"/>
      <c r="G133" s="1047"/>
      <c r="H133" s="1047"/>
      <c r="I133" s="1047"/>
      <c r="J133" s="1047"/>
      <c r="K133" s="1047"/>
      <c r="L133" s="1047"/>
      <c r="M133" s="1047"/>
      <c r="N133" s="1047"/>
      <c r="O133" s="1047"/>
      <c r="P133" s="1047"/>
      <c r="Q133" s="1048"/>
      <c r="R133" s="1049"/>
      <c r="S133" s="1050"/>
      <c r="T133" s="725" t="s">
        <v>629</v>
      </c>
      <c r="U133" s="2395">
        <v>1</v>
      </c>
      <c r="V133" s="2395" t="s">
        <v>592</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0"/>
      <c r="B134" s="1644"/>
      <c r="C134" s="1644"/>
      <c r="D134" s="2600"/>
      <c r="E134" s="643"/>
      <c r="F134" s="643"/>
      <c r="G134" s="643"/>
      <c r="H134" s="643"/>
      <c r="I134" s="643"/>
      <c r="J134" s="643"/>
      <c r="K134" s="643"/>
      <c r="L134" s="643"/>
      <c r="M134" s="643"/>
      <c r="N134" s="643"/>
      <c r="O134" s="643"/>
      <c r="P134" s="643"/>
      <c r="Q134" s="643"/>
      <c r="R134" s="643"/>
      <c r="S134" s="644"/>
      <c r="T134" s="726"/>
      <c r="U134" s="2395"/>
      <c r="V134" s="2395"/>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0"/>
      <c r="B135" s="1644"/>
      <c r="C135" s="1644"/>
      <c r="D135" s="2601"/>
      <c r="E135" s="1051"/>
      <c r="F135" s="1052"/>
      <c r="G135" s="1052"/>
      <c r="H135" s="1053"/>
      <c r="I135" s="1053"/>
      <c r="J135" s="1053"/>
      <c r="K135" s="1053"/>
      <c r="L135" s="1053"/>
      <c r="M135" s="1053"/>
      <c r="N135" s="1053"/>
      <c r="O135" s="1053"/>
      <c r="P135" s="1053"/>
      <c r="Q135" s="1053"/>
      <c r="R135" s="954"/>
      <c r="S135" s="1054"/>
      <c r="T135" s="726"/>
      <c r="U135" s="2395"/>
      <c r="V135" s="2395"/>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1"/>
    </row>
    <row s="1822" customFormat="1" customHeight="1" ht="11.25">
      <c r="A137" s="1822" t="s">
        <v>2081</v>
      </c>
    </row>
    <row r="139" s="1855" customFormat="1" customHeight="1" ht="45">
      <c r="A139" s="1813"/>
      <c r="B139" s="1168"/>
      <c r="C139" s="420"/>
      <c r="D139" s="97"/>
      <c r="E139" s="2593"/>
      <c r="F139" s="2129" t="s">
        <v>118</v>
      </c>
      <c r="G139" s="2596" t="s">
        <v>22</v>
      </c>
      <c r="H139" s="297"/>
      <c r="I139" s="645" t="s">
        <v>118</v>
      </c>
      <c r="J139" s="1814" t="s">
        <v>2082</v>
      </c>
      <c r="K139" s="646" t="s">
        <v>563</v>
      </c>
      <c r="L139" s="2245" t="s">
        <v>563</v>
      </c>
      <c r="M139" s="2598"/>
      <c r="N139" s="646" t="s">
        <v>563</v>
      </c>
      <c r="O139" s="646" t="s">
        <v>563</v>
      </c>
      <c r="P139" s="646" t="s">
        <v>563</v>
      </c>
      <c r="Q139" s="647">
        <f>SUM(Q140:Q142)</f>
        <v>0</v>
      </c>
      <c r="R139" s="647">
        <f>IF(R136=0,0,(Q136/R136)*100)</f>
        <v>0</v>
      </c>
      <c r="S139" s="2200"/>
      <c r="T139" s="725" t="s">
        <v>629</v>
      </c>
      <c r="U139" s="97"/>
      <c r="V139" s="97"/>
      <c r="AC139" s="97"/>
    </row>
    <row s="1855" customFormat="1" customHeight="1" ht="11.25">
      <c r="A140" s="1813"/>
      <c r="B140" s="1168"/>
      <c r="C140" s="420"/>
      <c r="D140" s="97"/>
      <c r="E140" s="2594"/>
      <c r="F140" s="2129"/>
      <c r="G140" s="2596"/>
      <c r="H140" s="2148"/>
      <c r="I140" s="2536" t="s">
        <v>1223</v>
      </c>
      <c r="J140" s="2590"/>
      <c r="K140" s="2591"/>
      <c r="L140" s="648"/>
      <c r="M140" s="649" t="s">
        <v>118</v>
      </c>
      <c r="N140" s="1802"/>
      <c r="O140" s="650"/>
      <c r="P140" s="651"/>
      <c r="Q140" s="650"/>
      <c r="R140" s="652">
        <v>0</v>
      </c>
      <c r="S140" s="2200"/>
      <c r="T140" s="725"/>
      <c r="U140" s="97"/>
      <c r="V140" s="97"/>
      <c r="AC140" s="97"/>
    </row>
    <row s="1855" customFormat="1" customHeight="1" ht="11.25">
      <c r="A141" s="1813"/>
      <c r="B141" s="1168"/>
      <c r="C141" s="420"/>
      <c r="D141" s="97"/>
      <c r="E141" s="2594"/>
      <c r="F141" s="2129"/>
      <c r="G141" s="2596"/>
      <c r="H141" s="2148"/>
      <c r="I141" s="2536"/>
      <c r="J141" s="2590"/>
      <c r="K141" s="2592"/>
      <c r="L141" s="653"/>
      <c r="M141" s="654"/>
      <c r="N141" s="655" t="s">
        <v>2083</v>
      </c>
      <c r="O141" s="655"/>
      <c r="P141" s="655"/>
      <c r="Q141" s="655"/>
      <c r="R141" s="656"/>
      <c r="S141" s="2200"/>
      <c r="T141" s="725"/>
      <c r="U141" s="97"/>
      <c r="V141" s="97"/>
      <c r="AC141" s="97"/>
    </row>
    <row s="1855" customFormat="1" customHeight="1" ht="11.25">
      <c r="A142" s="1813"/>
      <c r="B142" s="1168"/>
      <c r="C142" s="420"/>
      <c r="D142" s="97"/>
      <c r="E142" s="2595"/>
      <c r="F142" s="2129"/>
      <c r="G142" s="2597"/>
      <c r="H142" s="653" t="s">
        <v>22</v>
      </c>
      <c r="I142" s="654"/>
      <c r="J142" s="655" t="s">
        <v>2084</v>
      </c>
      <c r="K142" s="655"/>
      <c r="L142" s="655"/>
      <c r="M142" s="655"/>
      <c r="N142" s="655"/>
      <c r="O142" s="655"/>
      <c r="P142" s="655"/>
      <c r="Q142" s="655"/>
      <c r="R142" s="656"/>
      <c r="S142" s="2200"/>
      <c r="T142" s="725"/>
      <c r="U142" s="97"/>
      <c r="V142" s="97"/>
      <c r="AC142" s="97"/>
    </row>
    <row r="147" s="1855" customFormat="1" customHeight="1" ht="11.25">
      <c r="A147" s="1813"/>
      <c r="B147" s="1168"/>
      <c r="C147" s="420"/>
      <c r="D147" s="97"/>
      <c r="E147" s="1837"/>
      <c r="F147" s="1837"/>
      <c r="G147" s="1837"/>
      <c r="H147" s="2148"/>
      <c r="I147" s="2536" t="s">
        <v>1223</v>
      </c>
      <c r="J147" s="2590"/>
      <c r="K147" s="2591"/>
      <c r="L147" s="648"/>
      <c r="M147" s="649" t="s">
        <v>118</v>
      </c>
      <c r="N147" s="1802"/>
      <c r="O147" s="650"/>
      <c r="P147" s="651"/>
      <c r="Q147" s="650"/>
      <c r="R147" s="652">
        <v>0</v>
      </c>
      <c r="S147" s="97"/>
      <c r="T147" s="725"/>
      <c r="U147" s="97"/>
      <c r="V147" s="97"/>
      <c r="AC147" s="97"/>
    </row>
    <row s="1855" customFormat="1" customHeight="1" ht="11.25">
      <c r="A148" s="1813"/>
      <c r="B148" s="1168"/>
      <c r="C148" s="420"/>
      <c r="D148" s="97"/>
      <c r="E148" s="1837"/>
      <c r="F148" s="1837"/>
      <c r="G148" s="1837"/>
      <c r="H148" s="2148"/>
      <c r="I148" s="2536"/>
      <c r="J148" s="2590"/>
      <c r="K148" s="2592"/>
      <c r="L148" s="653"/>
      <c r="M148" s="654"/>
      <c r="N148" s="655" t="s">
        <v>2083</v>
      </c>
      <c r="O148" s="655"/>
      <c r="P148" s="655"/>
      <c r="Q148" s="655"/>
      <c r="R148" s="656"/>
      <c r="S148" s="97"/>
      <c r="T148" s="725"/>
      <c r="U148" s="97"/>
      <c r="V148" s="97"/>
      <c r="AC148" s="97"/>
    </row>
    <row r="150" s="1855" customFormat="1" customHeight="1" ht="11.25">
      <c r="A150" s="1813"/>
      <c r="B150" s="1168"/>
      <c r="C150" s="420"/>
      <c r="D150" s="97"/>
      <c r="E150" s="1842"/>
      <c r="F150" s="1840"/>
      <c r="G150" s="1840"/>
      <c r="H150" s="1843"/>
      <c r="I150" s="1837"/>
      <c r="J150" s="1838"/>
      <c r="K150" s="1838"/>
      <c r="L150" s="648"/>
      <c r="M150" s="649" t="s">
        <v>118</v>
      </c>
      <c r="N150" s="1802"/>
      <c r="O150" s="650"/>
      <c r="P150" s="651"/>
      <c r="Q150" s="650"/>
      <c r="R150" s="652">
        <v>0</v>
      </c>
      <c r="S150" s="97"/>
      <c r="T150" s="725"/>
      <c r="U150" s="97"/>
      <c r="V150" s="97"/>
      <c r="AC150" s="97"/>
    </row>
    <row r="152" s="1822" customFormat="1" customHeight="1" ht="17.25">
      <c r="A152" s="1822" t="s">
        <v>2085</v>
      </c>
    </row>
    <row customHeight="1" ht="17.25">
      <c r="G153" s="1844"/>
      <c r="H153" s="1844"/>
      <c r="I153" s="1844"/>
      <c r="M153" s="1840"/>
    </row>
    <row s="1858" customFormat="1" customHeight="1" ht="17.25">
      <c r="A154" s="1845"/>
      <c r="C154" s="1847"/>
      <c r="D154" s="2550"/>
      <c r="E154" s="2164"/>
      <c r="F154" s="2166"/>
      <c r="G154" s="2552"/>
      <c r="H154" s="2550"/>
      <c r="I154" s="2550">
        <v>1</v>
      </c>
      <c r="J154" s="2522"/>
      <c r="K154" s="2206" t="s">
        <v>61</v>
      </c>
      <c r="L154" s="2129"/>
      <c r="M154" s="2129" t="s">
        <v>118</v>
      </c>
      <c r="N154" s="2525" t="str">
        <f>IF(Z154="","",INDEX(TERRITORY_MR_LIST,MATCH(Z154,TERRITORY_LIST_ID,0)))</f>
        <v/>
      </c>
      <c r="O154" s="2206" t="s">
        <v>61</v>
      </c>
      <c r="P154" s="2129"/>
      <c r="Q154" s="2129" t="s">
        <v>118</v>
      </c>
      <c r="R154" s="2523" t="s">
        <v>22</v>
      </c>
      <c r="S154" s="2128" t="s">
        <v>61</v>
      </c>
      <c r="T154" s="1818"/>
      <c r="U154" s="1818" t="s">
        <v>118</v>
      </c>
      <c r="V154" s="1848" t="s">
        <v>22</v>
      </c>
      <c r="W154" s="1808"/>
      <c r="Y154" s="1275"/>
      <c r="Z154" s="1275"/>
      <c r="AA154" s="1275"/>
      <c r="AB154" s="1275"/>
      <c r="AC154" s="1275"/>
      <c r="AD154" s="1275"/>
      <c r="AE154" s="1275"/>
      <c r="AF154" s="1275"/>
      <c r="AG154" s="1275"/>
      <c r="AH154" s="1275"/>
      <c r="AI154" s="1275"/>
      <c r="AJ154" s="1275"/>
      <c r="AK154" s="1275"/>
      <c r="AL154" s="1849"/>
      <c r="AM154" s="1849"/>
      <c r="AN154" s="1275"/>
      <c r="AO154" s="1275"/>
      <c r="AP154" s="1275"/>
      <c r="AQ154" s="1275"/>
    </row>
    <row s="1858" customFormat="1" customHeight="1" ht="17.25">
      <c r="A155" s="1845"/>
      <c r="C155" s="1850"/>
      <c r="D155" s="2550"/>
      <c r="E155" s="2164"/>
      <c r="F155" s="2167"/>
      <c r="G155" s="2552"/>
      <c r="H155" s="2550"/>
      <c r="I155" s="2550"/>
      <c r="J155" s="2522"/>
      <c r="K155" s="2207"/>
      <c r="L155" s="2129"/>
      <c r="M155" s="2129"/>
      <c r="N155" s="2525"/>
      <c r="O155" s="2207"/>
      <c r="P155" s="2129"/>
      <c r="Q155" s="2129"/>
      <c r="R155" s="2523"/>
      <c r="S155" s="2128"/>
      <c r="T155" s="325"/>
      <c r="U155" s="326"/>
      <c r="V155" s="326" t="s">
        <v>431</v>
      </c>
      <c r="W155" s="327"/>
      <c r="Y155" s="1267"/>
      <c r="Z155" s="1267"/>
      <c r="AA155" s="1267"/>
      <c r="AB155" s="1267"/>
      <c r="AC155" s="1267"/>
      <c r="AD155" s="1267"/>
      <c r="AE155" s="1267"/>
      <c r="AF155" s="1267"/>
      <c r="AG155" s="1267"/>
      <c r="AH155" s="1267"/>
      <c r="AI155" s="1267"/>
      <c r="AJ155" s="1267"/>
      <c r="AK155" s="1267"/>
    </row>
    <row s="1858" customFormat="1" customHeight="1" ht="17.25">
      <c r="A156" s="1845"/>
      <c r="C156" s="1850"/>
      <c r="D156" s="2524"/>
      <c r="E156" s="2551"/>
      <c r="F156" s="2167"/>
      <c r="G156" s="2553"/>
      <c r="H156" s="2524"/>
      <c r="I156" s="2524"/>
      <c r="J156" s="2554"/>
      <c r="K156" s="2207"/>
      <c r="L156" s="2524"/>
      <c r="M156" s="2524"/>
      <c r="N156" s="2526"/>
      <c r="O156" s="2133"/>
      <c r="P156" s="325"/>
      <c r="Q156" s="326"/>
      <c r="R156" s="326" t="s">
        <v>432</v>
      </c>
      <c r="S156" s="1851"/>
      <c r="T156" s="1851"/>
      <c r="U156" s="1851"/>
      <c r="V156" s="1851"/>
      <c r="W156" s="327"/>
      <c r="Y156" s="1267"/>
      <c r="Z156" s="1267"/>
      <c r="AA156" s="1267"/>
      <c r="AB156" s="1267"/>
      <c r="AC156" s="1267"/>
      <c r="AD156" s="1267"/>
      <c r="AE156" s="1267"/>
      <c r="AF156" s="1267"/>
      <c r="AG156" s="1267"/>
      <c r="AH156" s="1267"/>
      <c r="AI156" s="1267"/>
      <c r="AJ156" s="1267"/>
      <c r="AK156" s="1267"/>
    </row>
    <row s="1858" customFormat="1" customHeight="1" ht="17.25">
      <c r="A157" s="1845"/>
      <c r="C157" s="1850"/>
      <c r="D157" s="2524"/>
      <c r="E157" s="2551"/>
      <c r="F157" s="2167"/>
      <c r="G157" s="2553"/>
      <c r="H157" s="2524"/>
      <c r="I157" s="2524"/>
      <c r="J157" s="2554"/>
      <c r="K157" s="2133"/>
      <c r="L157" s="325"/>
      <c r="M157" s="326"/>
      <c r="N157" s="326" t="s">
        <v>433</v>
      </c>
      <c r="O157" s="326"/>
      <c r="P157" s="326"/>
      <c r="Q157" s="326"/>
      <c r="R157" s="326"/>
      <c r="S157" s="1851"/>
      <c r="T157" s="1851"/>
      <c r="U157" s="1851"/>
      <c r="V157" s="1851"/>
      <c r="W157" s="327"/>
      <c r="Y157" s="1267"/>
      <c r="Z157" s="1267"/>
      <c r="AA157" s="1267"/>
      <c r="AB157" s="1267"/>
      <c r="AC157" s="1267"/>
      <c r="AD157" s="1267"/>
      <c r="AE157" s="1267"/>
      <c r="AF157" s="1267"/>
      <c r="AG157" s="1267"/>
      <c r="AH157" s="1267"/>
      <c r="AI157" s="1267"/>
      <c r="AJ157" s="1267"/>
      <c r="AK157" s="1267"/>
    </row>
    <row s="1858" customFormat="1" customHeight="1" ht="17.25">
      <c r="A158" s="1845"/>
      <c r="C158" s="1850"/>
      <c r="D158" s="2524"/>
      <c r="E158" s="2551"/>
      <c r="F158" s="2168"/>
      <c r="G158" s="2553"/>
      <c r="H158" s="325"/>
      <c r="I158" s="326"/>
      <c r="J158" s="326" t="s">
        <v>465</v>
      </c>
      <c r="K158" s="326"/>
      <c r="L158" s="326"/>
      <c r="M158" s="326"/>
      <c r="N158" s="326"/>
      <c r="O158" s="326"/>
      <c r="P158" s="326"/>
      <c r="Q158" s="326"/>
      <c r="R158" s="326"/>
      <c r="S158" s="1851"/>
      <c r="T158" s="1851"/>
      <c r="U158" s="1851"/>
      <c r="V158" s="1851"/>
      <c r="W158" s="327"/>
      <c r="Y158" s="1267"/>
      <c r="Z158" s="1267"/>
      <c r="AA158" s="1267"/>
      <c r="AB158" s="1267"/>
      <c r="AC158" s="1267"/>
      <c r="AD158" s="1267"/>
      <c r="AE158" s="1267"/>
      <c r="AF158" s="1267"/>
      <c r="AG158" s="1267"/>
      <c r="AH158" s="1267"/>
      <c r="AI158" s="1267"/>
      <c r="AJ158" s="1267"/>
      <c r="AK158" s="1267"/>
    </row>
    <row customHeight="1" ht="17.25">
      <c r="G159" s="1844"/>
      <c r="H159" s="1844"/>
      <c r="I159" s="1844"/>
      <c r="M159" s="1840"/>
    </row>
    <row s="1858" customFormat="1" customHeight="1" ht="17.25">
      <c r="A160" s="1845"/>
      <c r="C160" s="1847"/>
      <c r="D160" s="1837"/>
      <c r="E160" s="1852"/>
      <c r="F160" s="1791"/>
      <c r="G160" s="1853"/>
      <c r="H160" s="2550"/>
      <c r="I160" s="2550">
        <v>1</v>
      </c>
      <c r="J160" s="2522"/>
      <c r="K160" s="2206" t="s">
        <v>61</v>
      </c>
      <c r="L160" s="2129"/>
      <c r="M160" s="2129" t="s">
        <v>118</v>
      </c>
      <c r="N160" s="2525" t="str">
        <f>IF(Z160="","",INDEX(TERRITORY_MR_LIST,MATCH(Z160,TERRITORY_LIST_ID,0)))</f>
        <v/>
      </c>
      <c r="O160" s="2206" t="s">
        <v>61</v>
      </c>
      <c r="P160" s="2129"/>
      <c r="Q160" s="2129" t="s">
        <v>118</v>
      </c>
      <c r="R160" s="2523" t="s">
        <v>22</v>
      </c>
      <c r="S160" s="2128" t="s">
        <v>61</v>
      </c>
      <c r="T160" s="1818"/>
      <c r="U160" s="1818" t="s">
        <v>118</v>
      </c>
      <c r="V160" s="1848" t="s">
        <v>22</v>
      </c>
      <c r="W160" s="1808"/>
      <c r="Y160" s="1275"/>
      <c r="Z160" s="1275"/>
      <c r="AA160" s="1275"/>
      <c r="AB160" s="1275"/>
      <c r="AC160" s="1275"/>
      <c r="AD160" s="1275"/>
      <c r="AE160" s="1275"/>
      <c r="AF160" s="1275"/>
      <c r="AG160" s="1275"/>
      <c r="AH160" s="1275"/>
      <c r="AI160" s="1275"/>
      <c r="AJ160" s="1275"/>
      <c r="AK160" s="1275"/>
      <c r="AL160" s="1849"/>
      <c r="AM160" s="1849"/>
      <c r="AN160" s="1275"/>
      <c r="AO160" s="1275"/>
      <c r="AP160" s="1275"/>
      <c r="AQ160" s="1275"/>
    </row>
    <row s="1858" customFormat="1" customHeight="1" ht="17.25">
      <c r="A161" s="1845"/>
      <c r="C161" s="1850"/>
      <c r="D161" s="1837"/>
      <c r="E161" s="1852"/>
      <c r="F161" s="1791"/>
      <c r="G161" s="1853"/>
      <c r="H161" s="2550"/>
      <c r="I161" s="2550"/>
      <c r="J161" s="2522"/>
      <c r="K161" s="2207"/>
      <c r="L161" s="2129"/>
      <c r="M161" s="2129"/>
      <c r="N161" s="2525"/>
      <c r="O161" s="2207"/>
      <c r="P161" s="2129"/>
      <c r="Q161" s="2129"/>
      <c r="R161" s="2523"/>
      <c r="S161" s="2128"/>
      <c r="T161" s="325"/>
      <c r="U161" s="326"/>
      <c r="V161" s="326" t="s">
        <v>431</v>
      </c>
      <c r="W161" s="327"/>
      <c r="Y161" s="1267"/>
      <c r="Z161" s="1267"/>
      <c r="AA161" s="1267"/>
      <c r="AB161" s="1267"/>
      <c r="AC161" s="1267"/>
      <c r="AD161" s="1267"/>
      <c r="AE161" s="1267"/>
      <c r="AF161" s="1267"/>
      <c r="AG161" s="1267"/>
      <c r="AH161" s="1267"/>
      <c r="AI161" s="1267"/>
      <c r="AJ161" s="1267"/>
      <c r="AK161" s="1267"/>
    </row>
    <row s="1858" customFormat="1" customHeight="1" ht="17.25">
      <c r="A162" s="1845"/>
      <c r="C162" s="1850"/>
      <c r="D162" s="1837"/>
      <c r="E162" s="1852"/>
      <c r="F162" s="1791"/>
      <c r="G162" s="1853"/>
      <c r="H162" s="2524"/>
      <c r="I162" s="2524"/>
      <c r="J162" s="2554"/>
      <c r="K162" s="2207"/>
      <c r="L162" s="2524"/>
      <c r="M162" s="2524"/>
      <c r="N162" s="2526"/>
      <c r="O162" s="2133"/>
      <c r="P162" s="325"/>
      <c r="Q162" s="326"/>
      <c r="R162" s="326" t="s">
        <v>432</v>
      </c>
      <c r="S162" s="1851"/>
      <c r="T162" s="1851"/>
      <c r="U162" s="1851"/>
      <c r="V162" s="1851"/>
      <c r="W162" s="327"/>
      <c r="Y162" s="1267"/>
      <c r="Z162" s="1267"/>
      <c r="AA162" s="1267"/>
      <c r="AB162" s="1267"/>
      <c r="AC162" s="1267"/>
      <c r="AD162" s="1267"/>
      <c r="AE162" s="1267"/>
      <c r="AF162" s="1267"/>
      <c r="AG162" s="1267"/>
      <c r="AH162" s="1267"/>
      <c r="AI162" s="1267"/>
      <c r="AJ162" s="1267"/>
      <c r="AK162" s="1267"/>
    </row>
    <row s="1858" customFormat="1" customHeight="1" ht="17.25">
      <c r="A163" s="1845"/>
      <c r="C163" s="1850"/>
      <c r="D163" s="1837"/>
      <c r="E163" s="1852"/>
      <c r="F163" s="1791"/>
      <c r="G163" s="1853"/>
      <c r="H163" s="2524"/>
      <c r="I163" s="2524"/>
      <c r="J163" s="2554"/>
      <c r="K163" s="2133"/>
      <c r="L163" s="325"/>
      <c r="M163" s="326"/>
      <c r="N163" s="326" t="s">
        <v>433</v>
      </c>
      <c r="O163" s="326"/>
      <c r="P163" s="326"/>
      <c r="Q163" s="326"/>
      <c r="R163" s="326"/>
      <c r="S163" s="1851"/>
      <c r="T163" s="1851"/>
      <c r="U163" s="1851"/>
      <c r="V163" s="1851"/>
      <c r="W163" s="327"/>
      <c r="Y163" s="1267"/>
      <c r="Z163" s="1267"/>
      <c r="AA163" s="1267"/>
      <c r="AB163" s="1267"/>
      <c r="AC163" s="1267"/>
      <c r="AD163" s="1267"/>
      <c r="AE163" s="1267"/>
      <c r="AF163" s="1267"/>
      <c r="AG163" s="1267"/>
      <c r="AH163" s="1267"/>
      <c r="AI163" s="1267"/>
      <c r="AJ163" s="1267"/>
      <c r="AK163" s="1267"/>
    </row>
    <row customHeight="1" ht="17.25">
      <c r="G164" s="1844"/>
      <c r="H164" s="1844"/>
      <c r="I164" s="1844"/>
      <c r="M164" s="1840"/>
    </row>
    <row s="1858" customFormat="1" customHeight="1" ht="17.25">
      <c r="A165" s="1845"/>
      <c r="C165" s="1847"/>
      <c r="D165" s="1837"/>
      <c r="E165" s="1852"/>
      <c r="F165" s="1791"/>
      <c r="G165" s="1853"/>
      <c r="H165" s="1837"/>
      <c r="I165" s="1837"/>
      <c r="J165" s="1854"/>
      <c r="K165" s="1767"/>
      <c r="L165" s="2129"/>
      <c r="M165" s="2129" t="s">
        <v>118</v>
      </c>
      <c r="N165" s="2525" t="str">
        <f>IF(Z165="","",INDEX(TERRITORY_MR_LIST,MATCH(Z165,TERRITORY_LIST_ID,0)))</f>
        <v/>
      </c>
      <c r="O165" s="2206" t="s">
        <v>61</v>
      </c>
      <c r="P165" s="2129"/>
      <c r="Q165" s="2129" t="s">
        <v>118</v>
      </c>
      <c r="R165" s="2523" t="s">
        <v>22</v>
      </c>
      <c r="S165" s="2128" t="s">
        <v>61</v>
      </c>
      <c r="T165" s="1818"/>
      <c r="U165" s="1818" t="s">
        <v>118</v>
      </c>
      <c r="V165" s="1848" t="s">
        <v>22</v>
      </c>
      <c r="W165" s="1808"/>
      <c r="Y165" s="1275"/>
      <c r="Z165" s="1275"/>
      <c r="AA165" s="1275"/>
      <c r="AB165" s="1275"/>
      <c r="AC165" s="1275"/>
      <c r="AD165" s="1275"/>
      <c r="AE165" s="1275"/>
      <c r="AF165" s="1275"/>
      <c r="AG165" s="1275"/>
      <c r="AH165" s="1275"/>
      <c r="AI165" s="1275"/>
      <c r="AJ165" s="1275"/>
      <c r="AK165" s="1275"/>
      <c r="AL165" s="1849"/>
      <c r="AM165" s="1849"/>
      <c r="AN165" s="1275"/>
      <c r="AO165" s="1275"/>
      <c r="AP165" s="1275"/>
      <c r="AQ165" s="1275"/>
    </row>
    <row s="1858" customFormat="1" customHeight="1" ht="17.25">
      <c r="A166" s="1845"/>
      <c r="C166" s="1850"/>
      <c r="D166" s="1837"/>
      <c r="E166" s="1852"/>
      <c r="F166" s="1791"/>
      <c r="G166" s="1853"/>
      <c r="H166" s="1837"/>
      <c r="I166" s="1837"/>
      <c r="J166" s="1854"/>
      <c r="K166" s="1767"/>
      <c r="L166" s="2129"/>
      <c r="M166" s="2129"/>
      <c r="N166" s="2525"/>
      <c r="O166" s="2207"/>
      <c r="P166" s="2129"/>
      <c r="Q166" s="2129"/>
      <c r="R166" s="2523"/>
      <c r="S166" s="2128"/>
      <c r="T166" s="325"/>
      <c r="U166" s="326"/>
      <c r="V166" s="326" t="s">
        <v>431</v>
      </c>
      <c r="W166" s="327"/>
      <c r="Y166" s="1267"/>
      <c r="Z166" s="1267"/>
      <c r="AA166" s="1267"/>
      <c r="AB166" s="1267"/>
      <c r="AC166" s="1267"/>
      <c r="AD166" s="1267"/>
      <c r="AE166" s="1267"/>
      <c r="AF166" s="1267"/>
      <c r="AG166" s="1267"/>
      <c r="AH166" s="1267"/>
      <c r="AI166" s="1267"/>
      <c r="AJ166" s="1267"/>
      <c r="AK166" s="1267"/>
    </row>
    <row s="1858" customFormat="1" customHeight="1" ht="17.25">
      <c r="A167" s="1845"/>
      <c r="C167" s="1850"/>
      <c r="D167" s="1837"/>
      <c r="E167" s="1852"/>
      <c r="F167" s="1791"/>
      <c r="G167" s="1853"/>
      <c r="H167" s="1837"/>
      <c r="I167" s="1837"/>
      <c r="J167" s="1854"/>
      <c r="K167" s="1767"/>
      <c r="L167" s="2524"/>
      <c r="M167" s="2524"/>
      <c r="N167" s="2526"/>
      <c r="O167" s="2133"/>
      <c r="P167" s="325"/>
      <c r="Q167" s="326"/>
      <c r="R167" s="326" t="s">
        <v>432</v>
      </c>
      <c r="S167" s="1851"/>
      <c r="T167" s="1851"/>
      <c r="U167" s="1851"/>
      <c r="V167" s="1851"/>
      <c r="W167" s="327"/>
      <c r="Y167" s="1267"/>
      <c r="Z167" s="1267"/>
      <c r="AA167" s="1267"/>
      <c r="AB167" s="1267"/>
      <c r="AC167" s="1267"/>
      <c r="AD167" s="1267"/>
      <c r="AE167" s="1267"/>
      <c r="AF167" s="1267"/>
      <c r="AG167" s="1267"/>
      <c r="AH167" s="1267"/>
      <c r="AI167" s="1267"/>
      <c r="AJ167" s="1267"/>
      <c r="AK167" s="1267"/>
    </row>
    <row customHeight="1" ht="17.25">
      <c r="G168" s="1844"/>
      <c r="H168" s="1844"/>
      <c r="I168" s="1844"/>
      <c r="M168" s="1840"/>
    </row>
    <row s="1858" customFormat="1" customHeight="1" ht="17.25">
      <c r="A169" s="1845"/>
      <c r="C169" s="1847"/>
      <c r="D169" s="1837"/>
      <c r="E169" s="1852"/>
      <c r="F169" s="1791"/>
      <c r="G169" s="1853"/>
      <c r="H169" s="1837"/>
      <c r="I169" s="1837"/>
      <c r="J169" s="1854"/>
      <c r="K169" s="1767"/>
      <c r="L169" s="1763"/>
      <c r="M169" s="1763"/>
      <c r="N169" s="2053"/>
      <c r="O169" s="1794"/>
      <c r="P169" s="2129"/>
      <c r="Q169" s="2129" t="s">
        <v>118</v>
      </c>
      <c r="R169" s="2523" t="s">
        <v>22</v>
      </c>
      <c r="S169" s="2128" t="s">
        <v>61</v>
      </c>
      <c r="T169" s="1818"/>
      <c r="U169" s="1818" t="s">
        <v>118</v>
      </c>
      <c r="V169" s="1848" t="s">
        <v>22</v>
      </c>
      <c r="W169" s="1808"/>
      <c r="Y169" s="1275"/>
      <c r="Z169" s="1275"/>
      <c r="AA169" s="1275"/>
      <c r="AB169" s="1275"/>
      <c r="AC169" s="1275"/>
      <c r="AD169" s="1275"/>
      <c r="AE169" s="1275"/>
      <c r="AF169" s="1275"/>
      <c r="AG169" s="1275"/>
      <c r="AH169" s="1275"/>
      <c r="AI169" s="1275"/>
      <c r="AJ169" s="1275"/>
      <c r="AK169" s="1275"/>
      <c r="AL169" s="1849"/>
      <c r="AM169" s="1849"/>
      <c r="AN169" s="1275"/>
      <c r="AO169" s="1275"/>
      <c r="AP169" s="1275"/>
      <c r="AQ169" s="1275"/>
    </row>
    <row s="1858" customFormat="1" customHeight="1" ht="17.25">
      <c r="A170" s="1845"/>
      <c r="C170" s="1850"/>
      <c r="D170" s="1837"/>
      <c r="E170" s="1852"/>
      <c r="F170" s="1791"/>
      <c r="G170" s="1853"/>
      <c r="H170" s="1837"/>
      <c r="I170" s="1837"/>
      <c r="J170" s="1854"/>
      <c r="K170" s="1767"/>
      <c r="L170" s="1763"/>
      <c r="M170" s="1763"/>
      <c r="N170" s="2053"/>
      <c r="O170" s="1794"/>
      <c r="P170" s="2129"/>
      <c r="Q170" s="2129"/>
      <c r="R170" s="2523"/>
      <c r="S170" s="2128"/>
      <c r="T170" s="325"/>
      <c r="U170" s="326"/>
      <c r="V170" s="326" t="s">
        <v>431</v>
      </c>
      <c r="W170" s="327"/>
      <c r="Y170" s="1267"/>
      <c r="Z170" s="1267"/>
      <c r="AA170" s="1267"/>
      <c r="AB170" s="1267"/>
      <c r="AC170" s="1267"/>
      <c r="AD170" s="1267"/>
      <c r="AE170" s="1267"/>
      <c r="AF170" s="1267"/>
      <c r="AG170" s="1267"/>
      <c r="AH170" s="1267"/>
      <c r="AI170" s="1267"/>
      <c r="AJ170" s="1267"/>
      <c r="AK170" s="1267"/>
    </row>
    <row customHeight="1" ht="17.25">
      <c r="G171" s="1844"/>
      <c r="H171" s="1844"/>
      <c r="I171" s="1844"/>
      <c r="M171" s="1840"/>
    </row>
    <row s="1858" customFormat="1" customHeight="1" ht="17.25">
      <c r="A172" s="1845"/>
      <c r="C172" s="1847"/>
      <c r="D172" s="1837"/>
      <c r="E172" s="1852"/>
      <c r="F172" s="1791"/>
      <c r="G172" s="1853"/>
      <c r="H172" s="1763"/>
      <c r="I172" s="1763"/>
      <c r="J172" s="1764"/>
      <c r="K172" s="1853"/>
      <c r="L172" s="1763"/>
      <c r="M172" s="1763"/>
      <c r="N172" s="1853"/>
      <c r="O172" s="1853"/>
      <c r="P172" s="1763"/>
      <c r="Q172" s="1763"/>
      <c r="R172" s="1765"/>
      <c r="S172" s="1853"/>
      <c r="T172" s="1818"/>
      <c r="U172" s="1818" t="s">
        <v>118</v>
      </c>
      <c r="V172" s="1848" t="s">
        <v>22</v>
      </c>
      <c r="W172" s="1808"/>
      <c r="Y172" s="1275"/>
      <c r="Z172" s="1275"/>
      <c r="AA172" s="1275"/>
      <c r="AB172" s="1275"/>
      <c r="AC172" s="1275"/>
      <c r="AD172" s="1275"/>
      <c r="AE172" s="1275"/>
      <c r="AF172" s="1275"/>
      <c r="AG172" s="1275"/>
      <c r="AH172" s="1275"/>
      <c r="AI172" s="1275"/>
      <c r="AJ172" s="1275"/>
      <c r="AK172" s="1275"/>
      <c r="AL172" s="1849"/>
      <c r="AM172" s="1849"/>
      <c r="AN172" s="1275"/>
      <c r="AO172" s="1275"/>
      <c r="AP172" s="1275"/>
      <c r="AQ172" s="1275"/>
    </row>
    <row r="174" s="1822" customFormat="1" customHeight="1" ht="17.25">
      <c r="A174" s="1822" t="s">
        <v>2086</v>
      </c>
    </row>
    <row customHeight="1" ht="17.25">
      <c r="G175" s="1844"/>
      <c r="H175" s="1844"/>
      <c r="I175" s="1844"/>
      <c r="M175" s="1840"/>
    </row>
    <row s="1858" customFormat="1" customHeight="1" ht="17.25">
      <c r="A176" s="1845"/>
      <c r="C176" s="1847"/>
      <c r="D176" s="2550"/>
      <c r="E176" s="2164"/>
      <c r="F176" s="2166"/>
      <c r="G176" s="2552"/>
      <c r="H176" s="2550"/>
      <c r="I176" s="2550">
        <v>1</v>
      </c>
      <c r="J176" s="2522"/>
      <c r="K176" s="2206" t="s">
        <v>61</v>
      </c>
      <c r="L176" s="2129"/>
      <c r="M176" s="2129" t="s">
        <v>118</v>
      </c>
      <c r="N176" s="2525" t="str">
        <f>IF(Z176="","",INDEX(TERRITORY_MR_LIST,MATCH(Z176,TERRITORY_LIST_ID,0)))</f>
        <v/>
      </c>
      <c r="O176" s="2206" t="s">
        <v>61</v>
      </c>
      <c r="P176" s="2129"/>
      <c r="Q176" s="2129" t="s">
        <v>118</v>
      </c>
      <c r="R176" s="2523" t="s">
        <v>22</v>
      </c>
      <c r="S176" s="2427" t="s">
        <v>19</v>
      </c>
      <c r="T176" s="1809"/>
      <c r="U176" s="1809" t="s">
        <v>118</v>
      </c>
      <c r="V176" s="1442"/>
      <c r="W176" s="2522"/>
      <c r="Y176" s="1275"/>
      <c r="Z176" s="1275"/>
      <c r="AA176" s="1275"/>
      <c r="AB176" s="1275"/>
      <c r="AC176" s="1275"/>
      <c r="AD176" s="1275"/>
      <c r="AE176" s="1275"/>
      <c r="AF176" s="1275"/>
      <c r="AG176" s="1275"/>
      <c r="AH176" s="1275"/>
      <c r="AI176" s="1275"/>
      <c r="AJ176" s="1275"/>
      <c r="AK176" s="1275"/>
      <c r="AL176" s="1849"/>
      <c r="AM176" s="1849"/>
      <c r="AN176" s="1275"/>
      <c r="AO176" s="1275"/>
      <c r="AP176" s="1275"/>
      <c r="AQ176" s="1275"/>
    </row>
    <row s="1858" customFormat="1" customHeight="1" ht="17.25">
      <c r="A177" s="1845"/>
      <c r="C177" s="1850"/>
      <c r="D177" s="2550"/>
      <c r="E177" s="2164"/>
      <c r="F177" s="2167"/>
      <c r="G177" s="2552"/>
      <c r="H177" s="2550"/>
      <c r="I177" s="2550"/>
      <c r="J177" s="2522"/>
      <c r="K177" s="2207"/>
      <c r="L177" s="2129"/>
      <c r="M177" s="2129"/>
      <c r="N177" s="2525"/>
      <c r="O177" s="2207"/>
      <c r="P177" s="2129"/>
      <c r="Q177" s="2129"/>
      <c r="R177" s="2523"/>
      <c r="S177" s="2427"/>
      <c r="T177" s="1443"/>
      <c r="U177" s="1444"/>
      <c r="V177" s="1444"/>
      <c r="W177" s="2522"/>
      <c r="Y177" s="1267"/>
      <c r="Z177" s="1267"/>
      <c r="AA177" s="1267"/>
      <c r="AB177" s="1267"/>
      <c r="AC177" s="1267"/>
      <c r="AD177" s="1267"/>
      <c r="AE177" s="1267"/>
      <c r="AF177" s="1267"/>
      <c r="AG177" s="1267"/>
      <c r="AH177" s="1267"/>
      <c r="AI177" s="1267"/>
      <c r="AJ177" s="1267"/>
      <c r="AK177" s="1267"/>
    </row>
    <row s="1858" customFormat="1" customHeight="1" ht="17.25">
      <c r="A178" s="1845"/>
      <c r="C178" s="1850"/>
      <c r="D178" s="2524"/>
      <c r="E178" s="2551"/>
      <c r="F178" s="2167"/>
      <c r="G178" s="2553"/>
      <c r="H178" s="2524"/>
      <c r="I178" s="2524"/>
      <c r="J178" s="2554"/>
      <c r="K178" s="2207"/>
      <c r="L178" s="2524"/>
      <c r="M178" s="2524"/>
      <c r="N178" s="2526"/>
      <c r="O178" s="2133"/>
      <c r="P178" s="325"/>
      <c r="Q178" s="326"/>
      <c r="R178" s="326" t="s">
        <v>432</v>
      </c>
      <c r="S178" s="1851"/>
      <c r="T178" s="1851"/>
      <c r="U178" s="1851"/>
      <c r="V178" s="1851"/>
      <c r="W178" s="1441"/>
      <c r="Y178" s="1267"/>
      <c r="Z178" s="1267"/>
      <c r="AA178" s="1267"/>
      <c r="AB178" s="1267"/>
      <c r="AC178" s="1267"/>
      <c r="AD178" s="1267"/>
      <c r="AE178" s="1267"/>
      <c r="AF178" s="1267"/>
      <c r="AG178" s="1267"/>
      <c r="AH178" s="1267"/>
      <c r="AI178" s="1267"/>
      <c r="AJ178" s="1267"/>
      <c r="AK178" s="1267"/>
    </row>
    <row s="1858" customFormat="1" customHeight="1" ht="17.25">
      <c r="A179" s="1845"/>
      <c r="C179" s="1850"/>
      <c r="D179" s="2524"/>
      <c r="E179" s="2551"/>
      <c r="F179" s="2167"/>
      <c r="G179" s="2553"/>
      <c r="H179" s="2524"/>
      <c r="I179" s="2524"/>
      <c r="J179" s="2554"/>
      <c r="K179" s="2133"/>
      <c r="L179" s="325"/>
      <c r="M179" s="326"/>
      <c r="N179" s="326" t="s">
        <v>433</v>
      </c>
      <c r="O179" s="326"/>
      <c r="P179" s="326"/>
      <c r="Q179" s="326"/>
      <c r="R179" s="326"/>
      <c r="S179" s="1851"/>
      <c r="T179" s="1851"/>
      <c r="U179" s="1851"/>
      <c r="V179" s="1851"/>
      <c r="W179" s="327"/>
      <c r="Y179" s="1267"/>
      <c r="Z179" s="1267"/>
      <c r="AA179" s="1267"/>
      <c r="AB179" s="1267"/>
      <c r="AC179" s="1267"/>
      <c r="AD179" s="1267"/>
      <c r="AE179" s="1267"/>
      <c r="AF179" s="1267"/>
      <c r="AG179" s="1267"/>
      <c r="AH179" s="1267"/>
      <c r="AI179" s="1267"/>
      <c r="AJ179" s="1267"/>
      <c r="AK179" s="1267"/>
    </row>
    <row s="1858" customFormat="1" customHeight="1" ht="17.25">
      <c r="A180" s="1845"/>
      <c r="C180" s="1850"/>
      <c r="D180" s="2524"/>
      <c r="E180" s="2551"/>
      <c r="F180" s="2168"/>
      <c r="G180" s="2553"/>
      <c r="H180" s="325"/>
      <c r="I180" s="326"/>
      <c r="J180" s="326" t="s">
        <v>465</v>
      </c>
      <c r="K180" s="326"/>
      <c r="L180" s="326"/>
      <c r="M180" s="326"/>
      <c r="N180" s="326"/>
      <c r="O180" s="326"/>
      <c r="P180" s="326"/>
      <c r="Q180" s="326"/>
      <c r="R180" s="326"/>
      <c r="S180" s="1851"/>
      <c r="T180" s="1851"/>
      <c r="U180" s="1851"/>
      <c r="V180" s="1851"/>
      <c r="W180" s="327"/>
      <c r="Y180" s="1267"/>
      <c r="Z180" s="1267"/>
      <c r="AA180" s="1267"/>
      <c r="AB180" s="1267"/>
      <c r="AC180" s="1267"/>
      <c r="AD180" s="1267"/>
      <c r="AE180" s="1267"/>
      <c r="AF180" s="1267"/>
      <c r="AG180" s="1267"/>
      <c r="AH180" s="1267"/>
      <c r="AI180" s="1267"/>
      <c r="AJ180" s="1267"/>
      <c r="AK180" s="1267"/>
    </row>
    <row customHeight="1" ht="17.25">
      <c r="A181" s="1855"/>
    </row>
    <row s="1858" customFormat="1" customHeight="1" ht="17.25">
      <c r="A182" s="1845"/>
      <c r="C182" s="1847"/>
      <c r="D182" s="1837"/>
      <c r="E182" s="1852"/>
      <c r="F182" s="1791"/>
      <c r="G182" s="1853"/>
      <c r="H182" s="2550"/>
      <c r="I182" s="2550">
        <v>1</v>
      </c>
      <c r="J182" s="2522"/>
      <c r="K182" s="2206" t="s">
        <v>61</v>
      </c>
      <c r="L182" s="2129"/>
      <c r="M182" s="2129" t="s">
        <v>118</v>
      </c>
      <c r="N182" s="2525" t="str">
        <f>IF(Z182="","",INDEX(TERRITORY_MR_LIST,MATCH(Z182,TERRITORY_LIST_ID,0)))</f>
        <v/>
      </c>
      <c r="O182" s="2206" t="s">
        <v>61</v>
      </c>
      <c r="P182" s="2129"/>
      <c r="Q182" s="2129" t="s">
        <v>118</v>
      </c>
      <c r="R182" s="2523" t="s">
        <v>22</v>
      </c>
      <c r="S182" s="2427" t="s">
        <v>19</v>
      </c>
      <c r="T182" s="1809"/>
      <c r="U182" s="1809" t="s">
        <v>118</v>
      </c>
      <c r="V182" s="1442"/>
      <c r="W182" s="2522"/>
      <c r="Y182" s="1275"/>
      <c r="Z182" s="1275"/>
      <c r="AA182" s="1275"/>
      <c r="AB182" s="1275"/>
      <c r="AC182" s="1275"/>
      <c r="AD182" s="1275"/>
      <c r="AE182" s="1275"/>
      <c r="AF182" s="1275"/>
      <c r="AG182" s="1275"/>
      <c r="AH182" s="1275"/>
      <c r="AI182" s="1275"/>
      <c r="AJ182" s="1275"/>
      <c r="AK182" s="1275"/>
      <c r="AL182" s="1849"/>
      <c r="AM182" s="1849"/>
      <c r="AN182" s="1275"/>
      <c r="AO182" s="1275"/>
      <c r="AP182" s="1275"/>
      <c r="AQ182" s="1275"/>
    </row>
    <row s="1858" customFormat="1" customHeight="1" ht="17.25">
      <c r="A183" s="1845"/>
      <c r="C183" s="1850"/>
      <c r="D183" s="1837"/>
      <c r="E183" s="1852"/>
      <c r="F183" s="1791"/>
      <c r="G183" s="1853"/>
      <c r="H183" s="2550"/>
      <c r="I183" s="2550"/>
      <c r="J183" s="2522"/>
      <c r="K183" s="2207"/>
      <c r="L183" s="2129"/>
      <c r="M183" s="2129"/>
      <c r="N183" s="2525"/>
      <c r="O183" s="2207"/>
      <c r="P183" s="2129"/>
      <c r="Q183" s="2129"/>
      <c r="R183" s="2523"/>
      <c r="S183" s="2427"/>
      <c r="T183" s="1443"/>
      <c r="U183" s="1444"/>
      <c r="V183" s="1444"/>
      <c r="W183" s="2522"/>
      <c r="Y183" s="1267"/>
      <c r="Z183" s="1267"/>
      <c r="AA183" s="1267"/>
      <c r="AB183" s="1267"/>
      <c r="AC183" s="1267"/>
      <c r="AD183" s="1267"/>
      <c r="AE183" s="1267"/>
      <c r="AF183" s="1267"/>
      <c r="AG183" s="1267"/>
      <c r="AH183" s="1267"/>
      <c r="AI183" s="1267"/>
      <c r="AJ183" s="1267"/>
      <c r="AK183" s="1267"/>
    </row>
    <row s="1858" customFormat="1" customHeight="1" ht="17.25">
      <c r="A184" s="1845"/>
      <c r="C184" s="1850"/>
      <c r="D184" s="1837"/>
      <c r="E184" s="1852"/>
      <c r="F184" s="1791"/>
      <c r="G184" s="1853"/>
      <c r="H184" s="2524"/>
      <c r="I184" s="2524"/>
      <c r="J184" s="2554"/>
      <c r="K184" s="2207"/>
      <c r="L184" s="2524"/>
      <c r="M184" s="2524"/>
      <c r="N184" s="2526"/>
      <c r="O184" s="2133"/>
      <c r="P184" s="325"/>
      <c r="Q184" s="326"/>
      <c r="R184" s="326" t="s">
        <v>432</v>
      </c>
      <c r="S184" s="1851"/>
      <c r="T184" s="1851"/>
      <c r="U184" s="1851"/>
      <c r="V184" s="1851"/>
      <c r="W184" s="1441"/>
      <c r="Y184" s="1267"/>
      <c r="Z184" s="1267"/>
      <c r="AA184" s="1267"/>
      <c r="AB184" s="1267"/>
      <c r="AC184" s="1267"/>
      <c r="AD184" s="1267"/>
      <c r="AE184" s="1267"/>
      <c r="AF184" s="1267"/>
      <c r="AG184" s="1267"/>
      <c r="AH184" s="1267"/>
      <c r="AI184" s="1267"/>
      <c r="AJ184" s="1267"/>
      <c r="AK184" s="1267"/>
    </row>
    <row s="1858" customFormat="1" customHeight="1" ht="17.25">
      <c r="A185" s="1845"/>
      <c r="C185" s="1850"/>
      <c r="D185" s="1837"/>
      <c r="E185" s="1852"/>
      <c r="F185" s="1791"/>
      <c r="G185" s="1853"/>
      <c r="H185" s="2524"/>
      <c r="I185" s="2524"/>
      <c r="J185" s="2554"/>
      <c r="K185" s="2133"/>
      <c r="L185" s="325"/>
      <c r="M185" s="326"/>
      <c r="N185" s="326" t="s">
        <v>433</v>
      </c>
      <c r="O185" s="326"/>
      <c r="P185" s="326"/>
      <c r="Q185" s="326"/>
      <c r="R185" s="326"/>
      <c r="S185" s="1851"/>
      <c r="T185" s="1851"/>
      <c r="U185" s="1851"/>
      <c r="V185" s="1851"/>
      <c r="W185" s="327"/>
      <c r="Y185" s="1267"/>
      <c r="Z185" s="1267"/>
      <c r="AA185" s="1267"/>
      <c r="AB185" s="1267"/>
      <c r="AC185" s="1267"/>
      <c r="AD185" s="1267"/>
      <c r="AE185" s="1267"/>
      <c r="AF185" s="1267"/>
      <c r="AG185" s="1267"/>
      <c r="AH185" s="1267"/>
      <c r="AI185" s="1267"/>
      <c r="AJ185" s="1267"/>
      <c r="AK185" s="1267"/>
    </row>
    <row customHeight="1" ht="17.25">
      <c r="A186" s="1855"/>
    </row>
    <row s="1858" customFormat="1" customHeight="1" ht="17.25">
      <c r="A187" s="1845"/>
      <c r="C187" s="1847"/>
      <c r="D187" s="1837"/>
      <c r="E187" s="1852"/>
      <c r="F187" s="1791"/>
      <c r="G187" s="1853"/>
      <c r="H187" s="1837"/>
      <c r="I187" s="1837"/>
      <c r="J187" s="1856"/>
      <c r="K187" s="1853"/>
      <c r="L187" s="2129"/>
      <c r="M187" s="2129" t="s">
        <v>118</v>
      </c>
      <c r="N187" s="2525" t="str">
        <f>IF(Z187="","",INDEX(TERRITORY_MR_LIST,MATCH(Z187,TERRITORY_LIST_ID,0)))</f>
        <v/>
      </c>
      <c r="O187" s="2206" t="s">
        <v>61</v>
      </c>
      <c r="P187" s="2129"/>
      <c r="Q187" s="2129" t="s">
        <v>118</v>
      </c>
      <c r="R187" s="2523" t="s">
        <v>22</v>
      </c>
      <c r="S187" s="2427" t="s">
        <v>19</v>
      </c>
      <c r="T187" s="1809"/>
      <c r="U187" s="1809" t="s">
        <v>118</v>
      </c>
      <c r="V187" s="1442"/>
      <c r="W187" s="2522"/>
      <c r="Y187" s="1275"/>
      <c r="Z187" s="1275"/>
      <c r="AA187" s="1275"/>
      <c r="AB187" s="1275"/>
      <c r="AC187" s="1275"/>
      <c r="AD187" s="1275"/>
      <c r="AE187" s="1275"/>
      <c r="AF187" s="1275"/>
      <c r="AG187" s="1275"/>
      <c r="AH187" s="1275"/>
      <c r="AI187" s="1275"/>
      <c r="AJ187" s="1275"/>
      <c r="AK187" s="1275"/>
      <c r="AL187" s="1849"/>
      <c r="AM187" s="1849"/>
      <c r="AN187" s="1275"/>
      <c r="AO187" s="1275"/>
      <c r="AP187" s="1275"/>
      <c r="AQ187" s="1275"/>
    </row>
    <row s="1858" customFormat="1" customHeight="1" ht="17.25">
      <c r="A188" s="1845"/>
      <c r="C188" s="1850"/>
      <c r="D188" s="1837"/>
      <c r="E188" s="1852"/>
      <c r="F188" s="1791"/>
      <c r="G188" s="1853"/>
      <c r="H188" s="1837"/>
      <c r="I188" s="1837"/>
      <c r="J188" s="1856"/>
      <c r="K188" s="1853"/>
      <c r="L188" s="2129"/>
      <c r="M188" s="2129"/>
      <c r="N188" s="2525"/>
      <c r="O188" s="2207"/>
      <c r="P188" s="2129"/>
      <c r="Q188" s="2129"/>
      <c r="R188" s="2523"/>
      <c r="S188" s="2427"/>
      <c r="T188" s="1443"/>
      <c r="U188" s="1444"/>
      <c r="V188" s="1444"/>
      <c r="W188" s="2522"/>
      <c r="Y188" s="1267"/>
      <c r="Z188" s="1267"/>
      <c r="AA188" s="1267"/>
      <c r="AB188" s="1267"/>
      <c r="AC188" s="1267"/>
      <c r="AD188" s="1267"/>
      <c r="AE188" s="1267"/>
      <c r="AF188" s="1267"/>
      <c r="AG188" s="1267"/>
      <c r="AH188" s="1267"/>
      <c r="AI188" s="1267"/>
      <c r="AJ188" s="1267"/>
      <c r="AK188" s="1267"/>
    </row>
    <row s="1858" customFormat="1" customHeight="1" ht="17.25">
      <c r="A189" s="1845"/>
      <c r="C189" s="1850"/>
      <c r="D189" s="1837"/>
      <c r="E189" s="1852"/>
      <c r="F189" s="1791"/>
      <c r="G189" s="1853"/>
      <c r="H189" s="1837"/>
      <c r="I189" s="1837"/>
      <c r="J189" s="1856"/>
      <c r="K189" s="1853"/>
      <c r="L189" s="2524"/>
      <c r="M189" s="2524"/>
      <c r="N189" s="2526"/>
      <c r="O189" s="2133"/>
      <c r="P189" s="325"/>
      <c r="Q189" s="326"/>
      <c r="R189" s="326" t="s">
        <v>432</v>
      </c>
      <c r="S189" s="1851"/>
      <c r="T189" s="1851"/>
      <c r="U189" s="1851"/>
      <c r="V189" s="1851"/>
      <c r="W189" s="1441"/>
      <c r="Y189" s="1267"/>
      <c r="Z189" s="1267"/>
      <c r="AA189" s="1267"/>
      <c r="AB189" s="1267"/>
      <c r="AC189" s="1267"/>
      <c r="AD189" s="1267"/>
      <c r="AE189" s="1267"/>
      <c r="AF189" s="1267"/>
      <c r="AG189" s="1267"/>
      <c r="AH189" s="1267"/>
      <c r="AI189" s="1267"/>
      <c r="AJ189" s="1267"/>
      <c r="AK189" s="1267"/>
    </row>
    <row customHeight="1" ht="17.25">
      <c r="A190" s="1855"/>
    </row>
    <row s="1858" customFormat="1" customHeight="1" ht="17.25">
      <c r="A191" s="1845"/>
      <c r="C191" s="1847"/>
      <c r="D191" s="1837"/>
      <c r="E191" s="1852"/>
      <c r="F191" s="1791"/>
      <c r="G191" s="1853"/>
      <c r="H191" s="1837"/>
      <c r="I191" s="1837"/>
      <c r="J191" s="1856"/>
      <c r="K191" s="1853"/>
      <c r="L191" s="1837"/>
      <c r="M191" s="1837"/>
      <c r="N191" s="2053"/>
      <c r="O191" s="1794"/>
      <c r="P191" s="2129"/>
      <c r="Q191" s="2129" t="s">
        <v>118</v>
      </c>
      <c r="R191" s="2523" t="s">
        <v>22</v>
      </c>
      <c r="S191" s="2427" t="s">
        <v>19</v>
      </c>
      <c r="T191" s="1809"/>
      <c r="U191" s="1809" t="s">
        <v>118</v>
      </c>
      <c r="V191" s="1442"/>
      <c r="W191" s="2522"/>
      <c r="Y191" s="1275"/>
      <c r="Z191" s="1275"/>
      <c r="AA191" s="1275"/>
      <c r="AB191" s="1275"/>
      <c r="AC191" s="1275"/>
      <c r="AD191" s="1275"/>
      <c r="AE191" s="1275"/>
      <c r="AF191" s="1275"/>
      <c r="AG191" s="1275"/>
      <c r="AH191" s="1275"/>
      <c r="AI191" s="1275"/>
      <c r="AJ191" s="1275"/>
      <c r="AK191" s="1275"/>
      <c r="AL191" s="1849"/>
      <c r="AM191" s="1849"/>
      <c r="AN191" s="1275"/>
      <c r="AO191" s="1275"/>
      <c r="AP191" s="1275"/>
      <c r="AQ191" s="1275"/>
    </row>
    <row s="1858" customFormat="1" customHeight="1" ht="17.25">
      <c r="A192" s="1845"/>
      <c r="C192" s="1850"/>
      <c r="D192" s="1837"/>
      <c r="E192" s="1852"/>
      <c r="F192" s="1791"/>
      <c r="G192" s="1853"/>
      <c r="H192" s="1837"/>
      <c r="I192" s="1837"/>
      <c r="J192" s="1856"/>
      <c r="K192" s="1853"/>
      <c r="L192" s="1837"/>
      <c r="M192" s="1837"/>
      <c r="N192" s="2053"/>
      <c r="O192" s="1794"/>
      <c r="P192" s="2129"/>
      <c r="Q192" s="2129"/>
      <c r="R192" s="2523"/>
      <c r="S192" s="2427"/>
      <c r="T192" s="1443"/>
      <c r="U192" s="1444"/>
      <c r="V192" s="1444"/>
      <c r="W192" s="2522"/>
      <c r="Y192" s="1267"/>
      <c r="Z192" s="1267"/>
      <c r="AA192" s="1267"/>
      <c r="AB192" s="1267"/>
      <c r="AC192" s="1267"/>
      <c r="AD192" s="1267"/>
      <c r="AE192" s="1267"/>
      <c r="AF192" s="1267"/>
      <c r="AG192" s="1267"/>
      <c r="AH192" s="1267"/>
      <c r="AI192" s="1267"/>
      <c r="AJ192" s="1267"/>
      <c r="AK192" s="1267"/>
    </row>
    <row customHeight="1" ht="17.25">
      <c r="A193" s="1855"/>
    </row>
    <row customHeight="1" ht="16.5">
      <c r="A194" s="1845"/>
      <c r="B194" s="1846"/>
      <c r="C194" s="1850"/>
      <c r="D194" s="2574"/>
      <c r="E194" s="2200"/>
      <c r="F194" s="2200"/>
      <c r="G194" s="2148"/>
      <c r="H194" s="2575"/>
      <c r="I194" s="2588"/>
      <c r="J194" s="2173"/>
      <c r="K194" s="2158"/>
      <c r="L194" s="2158"/>
      <c r="M194" s="2158"/>
      <c r="N194" s="2586"/>
      <c r="O194" s="2158"/>
      <c r="P194" s="2158"/>
      <c r="Q194" s="2158"/>
      <c r="R194" s="2584"/>
      <c r="S194" s="2158"/>
      <c r="T194" s="1790"/>
      <c r="U194" s="1790"/>
      <c r="V194" s="1857"/>
      <c r="W194" s="1304"/>
    </row>
    <row customHeight="1" ht="16.5">
      <c r="A195" s="1845"/>
      <c r="B195" s="1846"/>
      <c r="C195" s="1850"/>
      <c r="D195" s="2574"/>
      <c r="E195" s="2200"/>
      <c r="F195" s="2200"/>
      <c r="G195" s="2148"/>
      <c r="H195" s="2576"/>
      <c r="I195" s="2589"/>
      <c r="J195" s="2174"/>
      <c r="K195" s="2159"/>
      <c r="L195" s="2159"/>
      <c r="M195" s="2159"/>
      <c r="N195" s="2587"/>
      <c r="O195" s="2159"/>
      <c r="P195" s="2159"/>
      <c r="Q195" s="2159"/>
      <c r="R195" s="2585"/>
      <c r="S195" s="2159"/>
      <c r="T195" s="1305"/>
      <c r="U195" s="1305"/>
      <c r="V195" s="1305"/>
      <c r="W195" s="1306"/>
    </row>
    <row customHeight="1" ht="17.25">
      <c r="A196" s="1845"/>
      <c r="B196" s="1846"/>
      <c r="C196" s="1850"/>
      <c r="D196" s="2574"/>
      <c r="E196" s="2200"/>
      <c r="F196" s="2200"/>
      <c r="G196" s="2148"/>
      <c r="H196" s="2576"/>
      <c r="I196" s="2589"/>
      <c r="J196" s="2577"/>
      <c r="K196" s="2159"/>
      <c r="L196" s="2159"/>
      <c r="M196" s="2159"/>
      <c r="N196" s="2585"/>
      <c r="O196" s="2159"/>
      <c r="P196" s="1793"/>
      <c r="Q196" s="1305"/>
      <c r="R196" s="1305"/>
      <c r="S196" s="1858"/>
      <c r="T196" s="1858"/>
      <c r="U196" s="1858"/>
      <c r="V196" s="1858"/>
      <c r="W196" s="1306"/>
    </row>
    <row customHeight="1" ht="17.25">
      <c r="A197" s="1845"/>
      <c r="B197" s="1846"/>
      <c r="C197" s="1850"/>
      <c r="D197" s="2574"/>
      <c r="E197" s="2200"/>
      <c r="F197" s="2200"/>
      <c r="G197" s="2148"/>
      <c r="H197" s="2576"/>
      <c r="I197" s="2589"/>
      <c r="J197" s="2577"/>
      <c r="K197" s="2159"/>
      <c r="L197" s="1305"/>
      <c r="M197" s="1305"/>
      <c r="N197" s="1305"/>
      <c r="O197" s="1305"/>
      <c r="P197" s="1305"/>
      <c r="Q197" s="1305"/>
      <c r="R197" s="1305"/>
      <c r="S197" s="1858"/>
      <c r="T197" s="1858"/>
      <c r="U197" s="1858"/>
      <c r="V197" s="1858"/>
      <c r="W197" s="1306"/>
    </row>
    <row customHeight="1" ht="17.25">
      <c r="A198" s="1845"/>
      <c r="B198" s="1846"/>
      <c r="C198" s="1850"/>
      <c r="D198" s="2574"/>
      <c r="E198" s="2200"/>
      <c r="F198" s="2200"/>
      <c r="G198" s="2148"/>
      <c r="H198" s="1307"/>
      <c r="I198" s="1308"/>
      <c r="J198" s="1308"/>
      <c r="K198" s="1308"/>
      <c r="L198" s="1308"/>
      <c r="M198" s="1308"/>
      <c r="N198" s="1308"/>
      <c r="O198" s="1308"/>
      <c r="P198" s="1308"/>
      <c r="Q198" s="1308"/>
      <c r="R198" s="1308"/>
      <c r="S198" s="1859"/>
      <c r="T198" s="1859"/>
      <c r="U198" s="1859"/>
      <c r="V198" s="1859"/>
      <c r="W198" s="1310"/>
    </row>
    <row r="200" s="1822" customFormat="1" customHeight="1" ht="17.25">
      <c r="A200" s="1822" t="s">
        <v>2087</v>
      </c>
    </row>
    <row customHeight="1" ht="17.25">
      <c r="G201" s="1844"/>
      <c r="H201" s="1844"/>
      <c r="I201" s="1844"/>
      <c r="M201" s="1840"/>
    </row>
    <row s="1855" customFormat="1" customHeight="1" ht="15">
      <c r="D202" s="2544"/>
      <c r="E202" s="2220"/>
      <c r="F202" s="2220"/>
      <c r="G202" s="2206"/>
      <c r="H202" s="1572"/>
      <c r="I202" s="2548">
        <v>1</v>
      </c>
      <c r="J202" s="2522"/>
      <c r="K202" s="1587"/>
      <c r="L202" s="2206" t="s">
        <v>61</v>
      </c>
      <c r="M202" s="2206" t="s">
        <v>61</v>
      </c>
      <c r="N202" s="1572"/>
      <c r="O202" s="2129" t="s">
        <v>118</v>
      </c>
      <c r="P202" s="2538"/>
      <c r="Q202" s="1588"/>
      <c r="R202" s="2206" t="s">
        <v>61</v>
      </c>
      <c r="S202" s="2206" t="s">
        <v>61</v>
      </c>
      <c r="T202" s="1860"/>
      <c r="U202" s="2129" t="s">
        <v>118</v>
      </c>
      <c r="V202" s="2545" t="str">
        <f>IF(AK202="","",INDEX(TERRITORY_MR_LIST,MATCH(AK202,TERRITORY_LIST_ID,0)))</f>
        <v/>
      </c>
      <c r="W202" s="1589"/>
      <c r="X202" s="2206" t="s">
        <v>61</v>
      </c>
      <c r="Y202" s="2206" t="s">
        <v>19</v>
      </c>
      <c r="Z202" s="1572"/>
      <c r="AA202" s="2129" t="s">
        <v>118</v>
      </c>
      <c r="AB202" s="2547"/>
      <c r="AC202" s="1590"/>
      <c r="AD202" s="2206" t="s">
        <v>61</v>
      </c>
      <c r="AE202" s="2206" t="s">
        <v>19</v>
      </c>
      <c r="AF202" s="1570"/>
      <c r="AG202" s="1818" t="s">
        <v>118</v>
      </c>
      <c r="AH202" s="1580"/>
      <c r="AI202" s="1808"/>
    </row>
    <row s="1855" customFormat="1" customHeight="1" ht="15">
      <c r="D203" s="2544"/>
      <c r="E203" s="2220"/>
      <c r="F203" s="2220"/>
      <c r="G203" s="2207"/>
      <c r="H203" s="1572"/>
      <c r="I203" s="2548"/>
      <c r="J203" s="2522"/>
      <c r="K203" s="1571"/>
      <c r="L203" s="2207"/>
      <c r="M203" s="2207"/>
      <c r="N203" s="1572"/>
      <c r="O203" s="2129"/>
      <c r="P203" s="2538"/>
      <c r="Q203" s="1568"/>
      <c r="R203" s="2207"/>
      <c r="S203" s="2207"/>
      <c r="T203" s="1860"/>
      <c r="U203" s="2129"/>
      <c r="V203" s="2546"/>
      <c r="W203" s="1569"/>
      <c r="X203" s="2207"/>
      <c r="Y203" s="2207"/>
      <c r="Z203" s="1572"/>
      <c r="AA203" s="2129"/>
      <c r="AB203" s="2516"/>
      <c r="AC203" s="1573"/>
      <c r="AD203" s="2133"/>
      <c r="AE203" s="2133"/>
      <c r="AF203" s="1574"/>
      <c r="AG203" s="1575"/>
      <c r="AH203" s="2539" t="s">
        <v>2088</v>
      </c>
      <c r="AI203" s="2540"/>
    </row>
    <row s="1855" customFormat="1" customHeight="1" ht="15">
      <c r="D204" s="2544"/>
      <c r="E204" s="2220"/>
      <c r="F204" s="2220"/>
      <c r="G204" s="2207"/>
      <c r="H204" s="1572"/>
      <c r="I204" s="2548"/>
      <c r="J204" s="2522"/>
      <c r="K204" s="1571"/>
      <c r="L204" s="2207"/>
      <c r="M204" s="2207"/>
      <c r="N204" s="1572"/>
      <c r="O204" s="2129"/>
      <c r="P204" s="2538"/>
      <c r="Q204" s="1568"/>
      <c r="R204" s="2207"/>
      <c r="S204" s="2207"/>
      <c r="T204" s="1860"/>
      <c r="U204" s="2129"/>
      <c r="V204" s="2546"/>
      <c r="W204" s="1569"/>
      <c r="X204" s="2207"/>
      <c r="Y204" s="2207"/>
      <c r="Z204" s="1611"/>
      <c r="AA204" s="1577"/>
      <c r="AB204" s="2541" t="s">
        <v>2089</v>
      </c>
      <c r="AC204" s="2541"/>
      <c r="AD204" s="2541"/>
      <c r="AE204" s="2541"/>
      <c r="AF204" s="2541"/>
      <c r="AG204" s="2541"/>
      <c r="AH204" s="2541"/>
      <c r="AI204" s="2542"/>
    </row>
    <row s="1855" customFormat="1" customHeight="1" ht="15">
      <c r="D205" s="2544"/>
      <c r="E205" s="2220"/>
      <c r="F205" s="2220"/>
      <c r="G205" s="2207"/>
      <c r="H205" s="1572"/>
      <c r="I205" s="2548"/>
      <c r="J205" s="2522"/>
      <c r="K205" s="1571"/>
      <c r="L205" s="2207"/>
      <c r="M205" s="2207"/>
      <c r="N205" s="1572"/>
      <c r="O205" s="2129"/>
      <c r="P205" s="2543"/>
      <c r="Q205" s="1568"/>
      <c r="R205" s="2207"/>
      <c r="S205" s="2207"/>
      <c r="T205" s="1861"/>
      <c r="U205" s="1612"/>
      <c r="V205" s="2539" t="s">
        <v>112</v>
      </c>
      <c r="W205" s="2539"/>
      <c r="X205" s="2539"/>
      <c r="Y205" s="2539"/>
      <c r="Z205" s="2539"/>
      <c r="AA205" s="2539"/>
      <c r="AB205" s="2539"/>
      <c r="AC205" s="2539"/>
      <c r="AD205" s="2539"/>
      <c r="AE205" s="2539"/>
      <c r="AF205" s="2539"/>
      <c r="AG205" s="2539"/>
      <c r="AH205" s="2539"/>
      <c r="AI205" s="2540"/>
    </row>
    <row s="1855" customFormat="1" customHeight="1" ht="11.25">
      <c r="D206" s="2544"/>
      <c r="E206" s="2220"/>
      <c r="F206" s="2220"/>
      <c r="G206" s="2207"/>
      <c r="H206" s="1576"/>
      <c r="I206" s="2548"/>
      <c r="J206" s="2549"/>
      <c r="K206" s="1571"/>
      <c r="L206" s="2207"/>
      <c r="M206" s="2207"/>
      <c r="N206" s="1576"/>
      <c r="O206" s="1577"/>
      <c r="P206" s="2539" t="s">
        <v>2090</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62" customFormat="1" customHeight="1" ht="11.25">
      <c r="D207" s="2544"/>
      <c r="E207" s="2220"/>
      <c r="F207" s="2220"/>
      <c r="G207" s="2133"/>
      <c r="H207" s="1578"/>
      <c r="I207" s="1579"/>
      <c r="J207" s="2539" t="s">
        <v>465</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82"/>
    </row>
    <row customHeight="1" ht="17.25">
      <c r="G208" s="1844"/>
      <c r="I208" s="1844"/>
      <c r="J208" s="1844"/>
      <c r="N208" s="1840"/>
    </row>
    <row s="1855" customFormat="1" customHeight="1" ht="15">
      <c r="D209" s="2544"/>
      <c r="E209" s="2220"/>
      <c r="F209" s="2220"/>
      <c r="G209" s="2200"/>
      <c r="H209" s="1607"/>
      <c r="I209" s="2202"/>
      <c r="J209" s="2173"/>
      <c r="K209" s="1792"/>
      <c r="L209" s="2158"/>
      <c r="M209" s="2158"/>
      <c r="N209" s="1592"/>
      <c r="O209" s="2158"/>
      <c r="P209" s="2173"/>
      <c r="Q209" s="1796"/>
      <c r="R209" s="2158"/>
      <c r="S209" s="2158"/>
      <c r="T209" s="1862"/>
      <c r="U209" s="2158"/>
      <c r="V209" s="2173"/>
      <c r="W209" s="1595"/>
      <c r="X209" s="2158"/>
      <c r="Y209" s="2158"/>
      <c r="Z209" s="1592"/>
      <c r="AA209" s="2158"/>
      <c r="AB209" s="2173"/>
      <c r="AC209" s="1596"/>
      <c r="AD209" s="2158"/>
      <c r="AE209" s="2158"/>
      <c r="AF209" s="1790"/>
      <c r="AG209" s="1790"/>
      <c r="AH209" s="1597"/>
      <c r="AI209" s="1304"/>
    </row>
    <row s="1855" customFormat="1" customHeight="1" ht="15">
      <c r="D210" s="2544"/>
      <c r="E210" s="2220"/>
      <c r="F210" s="2220"/>
      <c r="G210" s="2200"/>
      <c r="H210" s="1608"/>
      <c r="I210" s="2203"/>
      <c r="J210" s="2174"/>
      <c r="K210" s="1618"/>
      <c r="L210" s="2159"/>
      <c r="M210" s="2159"/>
      <c r="N210" s="1598"/>
      <c r="O210" s="2159"/>
      <c r="P210" s="2174"/>
      <c r="Q210" s="1797"/>
      <c r="R210" s="2159"/>
      <c r="S210" s="2159"/>
      <c r="T210" s="1863"/>
      <c r="U210" s="2159"/>
      <c r="V210" s="2174"/>
      <c r="W210" s="1601"/>
      <c r="X210" s="2159"/>
      <c r="Y210" s="2159"/>
      <c r="Z210" s="1598"/>
      <c r="AA210" s="2159"/>
      <c r="AB210" s="2174"/>
      <c r="AC210" s="1602"/>
      <c r="AD210" s="2159"/>
      <c r="AE210" s="2159"/>
      <c r="AF210" s="1795"/>
      <c r="AG210" s="1795"/>
      <c r="AH210" s="2198"/>
      <c r="AI210" s="2199"/>
    </row>
    <row s="1855" customFormat="1" customHeight="1" ht="15">
      <c r="D211" s="2544"/>
      <c r="E211" s="2220"/>
      <c r="F211" s="2220"/>
      <c r="G211" s="2200"/>
      <c r="H211" s="1608"/>
      <c r="I211" s="2203"/>
      <c r="J211" s="2174"/>
      <c r="K211" s="1618"/>
      <c r="L211" s="2159"/>
      <c r="M211" s="2159"/>
      <c r="N211" s="1598"/>
      <c r="O211" s="2159"/>
      <c r="P211" s="2174"/>
      <c r="Q211" s="1797"/>
      <c r="R211" s="2159"/>
      <c r="S211" s="2159"/>
      <c r="T211" s="1863"/>
      <c r="U211" s="2159"/>
      <c r="V211" s="2174"/>
      <c r="W211" s="1601"/>
      <c r="X211" s="2159"/>
      <c r="Y211" s="2159"/>
      <c r="Z211" s="1793"/>
      <c r="AA211" s="1795"/>
      <c r="AB211" s="2198"/>
      <c r="AC211" s="2198"/>
      <c r="AD211" s="2198"/>
      <c r="AE211" s="2198"/>
      <c r="AF211" s="2198"/>
      <c r="AG211" s="2198"/>
      <c r="AH211" s="2198"/>
      <c r="AI211" s="2199"/>
    </row>
    <row s="1855" customFormat="1" customHeight="1" ht="15">
      <c r="D212" s="2544"/>
      <c r="E212" s="2220"/>
      <c r="F212" s="2220"/>
      <c r="G212" s="2200"/>
      <c r="H212" s="1608"/>
      <c r="I212" s="2203"/>
      <c r="J212" s="2174"/>
      <c r="K212" s="1618"/>
      <c r="L212" s="2159"/>
      <c r="M212" s="2159"/>
      <c r="N212" s="1598"/>
      <c r="O212" s="2159"/>
      <c r="P212" s="2174"/>
      <c r="Q212" s="1797"/>
      <c r="R212" s="2159"/>
      <c r="S212" s="2159"/>
      <c r="T212" s="1864"/>
      <c r="U212" s="1605"/>
      <c r="V212" s="2198"/>
      <c r="W212" s="2198"/>
      <c r="X212" s="2198"/>
      <c r="Y212" s="2198"/>
      <c r="Z212" s="2198"/>
      <c r="AA212" s="2198"/>
      <c r="AB212" s="2198"/>
      <c r="AC212" s="2198"/>
      <c r="AD212" s="2198"/>
      <c r="AE212" s="2198"/>
      <c r="AF212" s="2198"/>
      <c r="AG212" s="2198"/>
      <c r="AH212" s="2198"/>
      <c r="AI212" s="2199"/>
    </row>
    <row s="1855" customFormat="1" customHeight="1" ht="11.25">
      <c r="D213" s="2544"/>
      <c r="E213" s="2220"/>
      <c r="F213" s="2220"/>
      <c r="G213" s="2200"/>
      <c r="H213" s="1609"/>
      <c r="I213" s="2203"/>
      <c r="J213" s="2174"/>
      <c r="K213" s="1618"/>
      <c r="L213" s="2159"/>
      <c r="M213" s="2159"/>
      <c r="N213" s="1795"/>
      <c r="O213" s="1795"/>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62" customFormat="1" customHeight="1" ht="11.25">
      <c r="D214" s="2544"/>
      <c r="E214" s="2220"/>
      <c r="F214" s="2220"/>
      <c r="G214" s="2205"/>
      <c r="H214" s="1606"/>
      <c r="I214" s="1610"/>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82"/>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738E9-6EC5-2539-91BB-B5B5FD91D8F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2091</v>
      </c>
      <c r="B1" s="854"/>
      <c r="C1" s="990" t="s">
        <v>2092</v>
      </c>
      <c r="D1" s="988" t="s">
        <v>852</v>
      </c>
      <c r="E1" s="988" t="s">
        <v>899</v>
      </c>
      <c r="F1" s="988" t="s">
        <v>952</v>
      </c>
      <c r="G1" s="988" t="s">
        <v>939</v>
      </c>
      <c r="H1" s="988" t="s">
        <v>1791</v>
      </c>
    </row>
    <row customHeight="1" ht="9">
      <c r="A2" s="991" t="s">
        <v>2093</v>
      </c>
      <c r="B2" s="991"/>
      <c r="C2" s="992" t="str">
        <f>INDEX(TEMPLATE_NUMBER_FORM_LIST,MATCH(TEMPLATE_SPHERE,TEMPLATE_SPHERE_LIST,0))</f>
        <v>16</v>
      </c>
      <c r="D2" s="991" t="s">
        <v>1124</v>
      </c>
      <c r="E2" s="991" t="s">
        <v>168</v>
      </c>
      <c r="F2" s="993" t="s">
        <v>168</v>
      </c>
      <c r="G2" s="991" t="s">
        <v>168</v>
      </c>
      <c r="H2" s="994"/>
    </row>
    <row customHeight="1" ht="63">
      <c r="A3" s="854"/>
      <c r="B3" s="854" t="s">
        <v>118</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2094</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2095</v>
      </c>
      <c r="B4" s="854" t="s">
        <v>102</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2096</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2097</v>
      </c>
    </row>
    <row customHeight="1" ht="117">
      <c r="A5" s="854" t="s">
        <v>2098</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2099</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2100</v>
      </c>
    </row>
    <row customHeight="1" ht="90">
      <c r="A6" s="854" t="s">
        <v>2101</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2102</v>
      </c>
      <c r="B7" s="854" t="s">
        <v>119</v>
      </c>
      <c r="C7" s="992" t="str">
        <f>IF(TEMPLATE_SPHERE="HEAT",D7,E7)</f>
        <v>Форма 11. Информация о расходах на капитальный и текущий ремонт основных средств</v>
      </c>
      <c r="D7" s="854" t="s">
        <v>2103</v>
      </c>
      <c r="E7" s="854" t="s">
        <v>2104</v>
      </c>
      <c r="F7" s="994"/>
      <c r="G7" s="994"/>
      <c r="H7" s="994"/>
    </row>
    <row customHeight="1" ht="108">
      <c r="A8" s="854" t="s">
        <v>2105</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1365</v>
      </c>
      <c r="E8" s="854" t="s">
        <v>2106</v>
      </c>
      <c r="F8" s="994"/>
      <c r="G8" s="994"/>
      <c r="H8" s="994"/>
    </row>
    <row customHeight="1" ht="99">
      <c r="A9" s="854" t="s">
        <v>2107</v>
      </c>
      <c r="B9" s="854"/>
      <c r="C9" s="854" t="s">
        <v>2108</v>
      </c>
      <c r="D9" s="854"/>
      <c r="E9" s="854"/>
      <c r="F9" s="994"/>
      <c r="G9" s="994"/>
      <c r="H9" s="994"/>
    </row>
    <row customHeight="1" ht="126">
      <c r="A10" s="854" t="s">
        <v>2109</v>
      </c>
      <c r="B10" s="854"/>
      <c r="C10" s="854" t="s">
        <v>2110</v>
      </c>
      <c r="D10" s="854"/>
      <c r="E10" s="854"/>
      <c r="F10" s="994"/>
      <c r="G10" s="994"/>
      <c r="H10" s="994"/>
    </row>
    <row customHeight="1" ht="108">
      <c r="A11" s="854" t="s">
        <v>2111</v>
      </c>
      <c r="B11" s="854"/>
      <c r="C11" s="854" t="s">
        <v>2112</v>
      </c>
      <c r="D11" s="854"/>
      <c r="E11" s="854"/>
      <c r="F11" s="994"/>
      <c r="G11" s="994"/>
      <c r="H11" s="994"/>
    </row>
    <row customHeight="1" ht="54">
      <c r="A12" s="854" t="s">
        <v>2113</v>
      </c>
      <c r="B12" s="854"/>
      <c r="C12" s="854" t="s">
        <v>2114</v>
      </c>
      <c r="D12" s="854"/>
      <c r="E12" s="854"/>
      <c r="F12" s="994"/>
      <c r="G12" s="994"/>
      <c r="H12" s="994"/>
    </row>
    <row customHeight="1" ht="45">
      <c r="A13" s="854" t="s">
        <v>2115</v>
      </c>
      <c r="B13" s="854"/>
      <c r="C13" s="854" t="s">
        <v>2116</v>
      </c>
      <c r="D13" s="854"/>
      <c r="E13" s="854"/>
      <c r="F13" s="994"/>
      <c r="G13" s="994"/>
      <c r="H13" s="994"/>
    </row>
    <row customHeight="1" ht="117">
      <c r="A14" s="854" t="s">
        <v>2117</v>
      </c>
      <c r="B14" s="854"/>
      <c r="C14" s="854" t="s">
        <v>2118</v>
      </c>
      <c r="D14" s="854"/>
      <c r="E14" s="854"/>
      <c r="F14" s="994"/>
      <c r="G14" s="994"/>
      <c r="H14" s="994"/>
    </row>
    <row customHeight="1" ht="117">
      <c r="A15" s="854" t="s">
        <v>2119</v>
      </c>
      <c r="B15" s="854"/>
      <c r="C15" s="854" t="s">
        <v>2120</v>
      </c>
      <c r="D15" s="854"/>
      <c r="E15" s="854"/>
      <c r="F15" s="994"/>
      <c r="G15" s="994"/>
      <c r="H15" s="994"/>
    </row>
    <row customHeight="1" ht="63">
      <c r="A16" s="854" t="s">
        <v>2121</v>
      </c>
      <c r="B16" s="854"/>
      <c r="C16" s="854" t="s">
        <v>2122</v>
      </c>
      <c r="D16" s="854"/>
      <c r="E16" s="854"/>
      <c r="F16" s="994"/>
      <c r="G16" s="994"/>
      <c r="H16" s="994"/>
    </row>
    <row customHeight="1" ht="54">
      <c r="A17" s="854" t="s">
        <v>2123</v>
      </c>
      <c r="B17" s="854"/>
      <c r="C17" s="992" t="s">
        <v>2124</v>
      </c>
      <c r="D17" s="854"/>
      <c r="E17" s="854"/>
      <c r="F17" s="994"/>
      <c r="G17" s="994"/>
      <c r="H17" s="994"/>
    </row>
    <row customHeight="1" ht="27">
      <c r="A18" s="854" t="s">
        <v>2125</v>
      </c>
      <c r="B18" s="854"/>
      <c r="C18" s="992" t="s">
        <v>2126</v>
      </c>
      <c r="D18" s="854"/>
      <c r="E18" s="854"/>
      <c r="F18" s="994"/>
      <c r="G18" s="994"/>
      <c r="H18" s="994"/>
    </row>
    <row customHeight="1" ht="54">
      <c r="A19" s="854" t="s">
        <v>2127</v>
      </c>
      <c r="B19" s="854"/>
      <c r="C19" s="992" t="s">
        <v>2128</v>
      </c>
      <c r="D19" s="854"/>
      <c r="E19" s="854"/>
      <c r="F19" s="994"/>
      <c r="G19" s="994"/>
      <c r="H19" s="994"/>
    </row>
    <row customHeight="1" ht="36">
      <c r="A20" s="854" t="s">
        <v>2129</v>
      </c>
      <c r="B20" s="854"/>
      <c r="C20" s="992" t="s">
        <v>2130</v>
      </c>
      <c r="D20" s="854"/>
      <c r="E20" s="854"/>
      <c r="F20" s="994"/>
      <c r="G20" s="994"/>
      <c r="H20" s="994"/>
    </row>
    <row customHeight="1" ht="36">
      <c r="A21" s="854" t="s">
        <v>2131</v>
      </c>
      <c r="B21" s="854"/>
      <c r="C21" s="992" t="s">
        <v>2132</v>
      </c>
      <c r="D21" s="854"/>
      <c r="E21" s="854"/>
      <c r="F21" s="994"/>
      <c r="G21" s="994"/>
      <c r="H21" s="994"/>
    </row>
    <row customHeight="1" ht="27">
      <c r="A22" s="854" t="s">
        <v>2133</v>
      </c>
      <c r="B22" s="854"/>
      <c r="C22" s="992" t="s">
        <v>2134</v>
      </c>
      <c r="D22" s="854"/>
      <c r="E22" s="854"/>
      <c r="F22" s="994"/>
      <c r="G22" s="994"/>
      <c r="H22" s="994"/>
    </row>
    <row customHeight="1" ht="36">
      <c r="A23" s="854" t="s">
        <v>2135</v>
      </c>
      <c r="B23" s="854"/>
      <c r="C23" s="992" t="s">
        <v>2136</v>
      </c>
      <c r="D23" s="854"/>
      <c r="E23" s="854"/>
      <c r="F23" s="994"/>
      <c r="G23" s="994"/>
      <c r="H23" s="994"/>
    </row>
    <row customHeight="1" ht="28.5">
      <c r="A24" s="854" t="s">
        <v>2137</v>
      </c>
      <c r="B24" s="854"/>
      <c r="C24" s="992" t="s">
        <v>2138</v>
      </c>
      <c r="D24" s="854"/>
      <c r="E24" s="854"/>
      <c r="F24" s="994"/>
      <c r="G24" s="994"/>
      <c r="H24" s="994"/>
    </row>
    <row customHeight="1" ht="36">
      <c r="A25" s="854" t="s">
        <v>2139</v>
      </c>
      <c r="B25" s="854"/>
      <c r="C25" s="992" t="s">
        <v>2140</v>
      </c>
      <c r="D25" s="854"/>
      <c r="E25" s="854"/>
      <c r="F25" s="994"/>
      <c r="G25" s="994"/>
      <c r="H25" s="994"/>
    </row>
    <row customHeight="1" ht="27">
      <c r="A26" s="854" t="s">
        <v>2141</v>
      </c>
      <c r="B26" s="854"/>
      <c r="C26" s="992" t="s">
        <v>2142</v>
      </c>
      <c r="D26" s="854"/>
      <c r="E26" s="854"/>
      <c r="F26" s="994"/>
      <c r="G26" s="994"/>
      <c r="H26" s="994"/>
    </row>
    <row customHeight="1" ht="36">
      <c r="A27" s="854" t="s">
        <v>2143</v>
      </c>
      <c r="B27" s="854"/>
      <c r="C27" s="992" t="s">
        <v>2144</v>
      </c>
      <c r="D27" s="854"/>
      <c r="E27" s="854"/>
      <c r="F27" s="994"/>
      <c r="G27" s="994"/>
      <c r="H27" s="994"/>
    </row>
    <row customHeight="1" ht="28.5">
      <c r="A28" s="854" t="s">
        <v>2145</v>
      </c>
      <c r="B28" s="854"/>
      <c r="C28" s="992" t="s">
        <v>2146</v>
      </c>
      <c r="D28" s="854"/>
      <c r="E28" s="854"/>
      <c r="F28" s="994"/>
      <c r="G28" s="994"/>
      <c r="H28" s="994"/>
    </row>
    <row customHeight="1" ht="126">
      <c r="A29" s="854" t="s">
        <v>2147</v>
      </c>
      <c r="B29" s="854" t="s">
        <v>1150</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2148</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2149</v>
      </c>
    </row>
    <row customHeight="1" ht="36">
      <c r="A30" s="854" t="s">
        <v>2150</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2151</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2152</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2153</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2154</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2155</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2156</v>
      </c>
    </row>
    <row customHeight="1" ht="9">
      <c r="A33" s="854"/>
      <c r="B33" s="854"/>
      <c r="C33" s="992"/>
      <c r="D33" s="854"/>
      <c r="E33" s="854"/>
      <c r="F33" s="994"/>
      <c r="G33" s="994"/>
      <c r="H33" s="994"/>
    </row>
    <row customHeight="1" ht="9">
      <c r="A34" s="854"/>
      <c r="B34" s="854" t="s">
        <v>1133</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727039-C09E-310F-61C7-7757ACAAA2C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2157</v>
      </c>
      <c r="D1" s="906"/>
      <c r="E1" s="906"/>
      <c r="F1" s="906"/>
      <c r="G1" s="906"/>
      <c r="H1" s="906" t="s">
        <v>2158</v>
      </c>
      <c r="I1" s="906"/>
      <c r="J1" s="906"/>
      <c r="K1" s="906"/>
      <c r="L1" s="906"/>
      <c r="M1" s="906" t="s">
        <v>2159</v>
      </c>
      <c r="N1" s="906" t="s">
        <v>2160</v>
      </c>
      <c r="O1" s="2613" t="s">
        <v>2161</v>
      </c>
      <c r="P1" s="2613"/>
      <c r="Q1" s="2613"/>
      <c r="R1" s="2613"/>
      <c r="S1" s="2613"/>
      <c r="T1" s="2613" t="s">
        <v>2159</v>
      </c>
      <c r="U1" s="2613"/>
      <c r="V1" s="2613"/>
      <c r="W1" s="2613"/>
      <c r="X1" s="2613"/>
      <c r="Y1" s="1007"/>
      <c r="Z1" s="2613" t="s">
        <v>2162</v>
      </c>
      <c r="AA1" s="2613"/>
      <c r="AB1" s="2613"/>
      <c r="AC1" s="2613"/>
      <c r="AD1" s="2613"/>
    </row>
    <row customHeight="1" ht="18">
      <c r="A2" s="854"/>
      <c r="B2" s="854"/>
      <c r="C2" s="849" t="s">
        <v>852</v>
      </c>
      <c r="D2" s="849" t="s">
        <v>899</v>
      </c>
      <c r="E2" s="849" t="s">
        <v>952</v>
      </c>
      <c r="F2" s="849" t="s">
        <v>939</v>
      </c>
      <c r="G2" s="849" t="s">
        <v>1791</v>
      </c>
      <c r="H2" s="851"/>
      <c r="I2" s="851"/>
      <c r="J2" s="851"/>
      <c r="K2" s="851"/>
      <c r="L2" s="851"/>
      <c r="M2" s="851"/>
      <c r="N2" s="851"/>
      <c r="O2" s="849" t="s">
        <v>852</v>
      </c>
      <c r="P2" s="849" t="s">
        <v>899</v>
      </c>
      <c r="Q2" s="849" t="s">
        <v>939</v>
      </c>
      <c r="R2" s="849" t="s">
        <v>952</v>
      </c>
      <c r="S2" s="849" t="s">
        <v>1791</v>
      </c>
      <c r="T2" s="849" t="s">
        <v>852</v>
      </c>
      <c r="U2" s="849" t="s">
        <v>899</v>
      </c>
      <c r="V2" s="849" t="s">
        <v>939</v>
      </c>
      <c r="W2" s="849" t="s">
        <v>952</v>
      </c>
      <c r="X2" s="849" t="s">
        <v>1791</v>
      </c>
      <c r="Y2" s="849"/>
      <c r="Z2" s="849" t="s">
        <v>852</v>
      </c>
      <c r="AA2" s="858" t="s">
        <v>899</v>
      </c>
      <c r="AB2" s="849" t="s">
        <v>939</v>
      </c>
      <c r="AC2" s="849" t="s">
        <v>952</v>
      </c>
      <c r="AD2" s="849" t="s">
        <v>1791</v>
      </c>
    </row>
    <row customHeight="1" ht="162">
      <c r="A3" s="853" t="s">
        <v>27</v>
      </c>
      <c r="B3" s="853"/>
      <c r="C3" s="2617" t="s">
        <v>2163</v>
      </c>
      <c r="D3" s="2618"/>
      <c r="E3" s="2618"/>
      <c r="F3" s="2619"/>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2164</v>
      </c>
      <c r="AA3" s="851" t="s">
        <v>2165</v>
      </c>
      <c r="AB3" s="854" t="s">
        <v>2166</v>
      </c>
      <c r="AC3" s="854" t="s">
        <v>2167</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14" t="s">
        <v>33</v>
      </c>
      <c r="B11" s="907">
        <v>1</v>
      </c>
      <c r="C11" s="2620" t="s">
        <v>1145</v>
      </c>
      <c r="D11" s="2620" t="s">
        <v>1143</v>
      </c>
      <c r="E11" s="2620" t="s">
        <v>1187</v>
      </c>
      <c r="F11" s="2620" t="s">
        <v>2168</v>
      </c>
      <c r="G11" s="2620"/>
      <c r="H11" s="906" t="s">
        <v>2169</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2170</v>
      </c>
      <c r="U11" s="851" t="s">
        <v>2171</v>
      </c>
      <c r="V11" s="851"/>
      <c r="W11" s="851"/>
      <c r="X11" s="851"/>
      <c r="Y11" s="1008"/>
      <c r="Z11" s="854" t="s">
        <v>2172</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14"/>
      <c r="B12" s="907">
        <v>2</v>
      </c>
      <c r="C12" s="2621"/>
      <c r="D12" s="2621"/>
      <c r="E12" s="2621"/>
      <c r="F12" s="2621"/>
      <c r="G12" s="2621"/>
      <c r="H12" s="906" t="s">
        <v>2173</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2174</v>
      </c>
      <c r="U12" s="851" t="s">
        <v>2175</v>
      </c>
      <c r="V12" s="851"/>
      <c r="W12" s="851"/>
      <c r="X12" s="851"/>
      <c r="Y12" s="1008"/>
      <c r="Z12" s="854" t="s">
        <v>2176</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14"/>
      <c r="B13" s="907">
        <v>3</v>
      </c>
      <c r="C13" s="2621"/>
      <c r="D13" s="2621"/>
      <c r="E13" s="2621"/>
      <c r="F13" s="2621"/>
      <c r="G13" s="2621"/>
      <c r="H13" s="2613" t="s">
        <v>2177</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2178</v>
      </c>
      <c r="U13" s="852" t="s">
        <v>2179</v>
      </c>
      <c r="V13" s="852"/>
      <c r="W13" s="852"/>
      <c r="X13" s="851"/>
      <c r="Y13" s="1008"/>
      <c r="Z13" s="854" t="s">
        <v>2180</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14"/>
      <c r="B14" s="907">
        <v>4</v>
      </c>
      <c r="C14" s="2621"/>
      <c r="D14" s="2621"/>
      <c r="E14" s="2621"/>
      <c r="F14" s="2621"/>
      <c r="G14" s="2621"/>
      <c r="H14" s="2613"/>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2181</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2182</v>
      </c>
      <c r="AA14" s="857" t="s">
        <v>2182</v>
      </c>
      <c r="AB14" s="854"/>
      <c r="AC14" s="854"/>
      <c r="AD14" s="854"/>
    </row>
    <row customHeight="1" ht="108">
      <c r="A15" s="2614"/>
      <c r="B15" s="907">
        <v>5</v>
      </c>
      <c r="C15" s="2621"/>
      <c r="D15" s="2621"/>
      <c r="E15" s="2621"/>
      <c r="F15" s="2621"/>
      <c r="G15" s="2621"/>
      <c r="H15" s="2615" t="s">
        <v>2183</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2184</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2185</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22"/>
      <c r="D16" s="2622"/>
      <c r="E16" s="2622"/>
      <c r="F16" s="2622"/>
      <c r="G16" s="2622"/>
      <c r="H16" s="2616"/>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2185</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1820</v>
      </c>
      <c r="B18" s="907">
        <v>1</v>
      </c>
      <c r="C18" s="851" t="s">
        <v>2169</v>
      </c>
      <c r="D18" s="975" t="s">
        <v>2169</v>
      </c>
      <c r="E18" s="851" t="s">
        <v>2169</v>
      </c>
      <c r="F18" s="851" t="s">
        <v>2169</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2186</v>
      </c>
      <c r="U18" s="854" t="s">
        <v>2187</v>
      </c>
      <c r="V18" s="854" t="s">
        <v>2188</v>
      </c>
      <c r="W18" s="854" t="s">
        <v>2189</v>
      </c>
      <c r="X18" s="851"/>
      <c r="Y18" s="1008"/>
      <c r="Z18" s="854" t="s">
        <v>2190</v>
      </c>
      <c r="AA18" s="857" t="s">
        <v>2191</v>
      </c>
      <c r="AB18" s="857" t="s">
        <v>2191</v>
      </c>
      <c r="AC18" s="857" t="s">
        <v>2191</v>
      </c>
      <c r="AD18" s="854"/>
    </row>
    <row customHeight="1" ht="36">
      <c r="A19" s="853"/>
      <c r="B19" s="907">
        <v>2</v>
      </c>
      <c r="C19" s="851" t="s">
        <v>2173</v>
      </c>
      <c r="D19" s="975" t="s">
        <v>2173</v>
      </c>
      <c r="E19" s="851" t="s">
        <v>2173</v>
      </c>
      <c r="F19" s="851" t="s">
        <v>2173</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2192</v>
      </c>
      <c r="U19" s="854" t="s">
        <v>2193</v>
      </c>
      <c r="V19" s="854" t="s">
        <v>2194</v>
      </c>
      <c r="W19" s="854" t="s">
        <v>2195</v>
      </c>
      <c r="X19" s="851"/>
      <c r="Y19" s="1008"/>
      <c r="Z19" s="854" t="s">
        <v>2196</v>
      </c>
      <c r="AA19" s="857" t="s">
        <v>2196</v>
      </c>
      <c r="AB19" s="857" t="s">
        <v>2196</v>
      </c>
      <c r="AC19" s="857" t="s">
        <v>2196</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735</v>
      </c>
      <c r="P20" s="965" t="s">
        <v>735</v>
      </c>
      <c r="Q20" s="965" t="s">
        <v>735</v>
      </c>
      <c r="R20" s="965" t="s">
        <v>735</v>
      </c>
      <c r="S20" s="965"/>
      <c r="T20" s="972" t="s">
        <v>2197</v>
      </c>
      <c r="U20" s="854" t="s">
        <v>2198</v>
      </c>
      <c r="V20" s="854" t="s">
        <v>2199</v>
      </c>
      <c r="W20" s="854" t="s">
        <v>2200</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324</v>
      </c>
      <c r="P21" s="965"/>
      <c r="Q21" s="965"/>
      <c r="R21" s="965"/>
      <c r="S21" s="965"/>
      <c r="T21" s="972" t="s">
        <v>2201</v>
      </c>
      <c r="U21" s="854"/>
      <c r="V21" s="854"/>
      <c r="W21" s="854"/>
      <c r="X21" s="851"/>
      <c r="Y21" s="1008"/>
      <c r="Z21" s="854" t="s">
        <v>2202</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324</v>
      </c>
      <c r="R22" s="965"/>
      <c r="S22" s="965"/>
      <c r="T22" s="972"/>
      <c r="U22" s="854"/>
      <c r="V22" s="854" t="s">
        <v>2203</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327</v>
      </c>
      <c r="R23" s="965"/>
      <c r="S23" s="965"/>
      <c r="T23" s="972"/>
      <c r="U23" s="854"/>
      <c r="V23" s="854" t="s">
        <v>2204</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755</v>
      </c>
      <c r="R24" s="965"/>
      <c r="S24" s="965"/>
      <c r="T24" s="972"/>
      <c r="U24" s="854"/>
      <c r="V24" s="854" t="s">
        <v>2205</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327</v>
      </c>
      <c r="P25" s="965" t="s">
        <v>324</v>
      </c>
      <c r="Q25" s="965" t="s">
        <v>762</v>
      </c>
      <c r="R25" s="965" t="s">
        <v>324</v>
      </c>
      <c r="S25" s="965"/>
      <c r="T25" s="972" t="s">
        <v>2206</v>
      </c>
      <c r="U25" s="854" t="s">
        <v>2206</v>
      </c>
      <c r="V25" s="854" t="s">
        <v>2206</v>
      </c>
      <c r="W25" s="854" t="s">
        <v>2206</v>
      </c>
      <c r="X25" s="851"/>
      <c r="Y25" s="1008"/>
      <c r="Z25" s="854"/>
      <c r="AA25" s="857"/>
      <c r="AB25" s="854"/>
      <c r="AC25" s="854"/>
      <c r="AD25" s="854"/>
    </row>
    <row customHeight="1" ht="18">
      <c r="A26" s="853"/>
      <c r="B26" s="907">
        <v>9</v>
      </c>
      <c r="C26" s="851" t="s">
        <v>674</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751</v>
      </c>
      <c r="P26" s="965" t="s">
        <v>745</v>
      </c>
      <c r="Q26" s="965" t="s">
        <v>2207</v>
      </c>
      <c r="R26" s="965" t="s">
        <v>745</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2208</v>
      </c>
      <c r="V26" s="972" t="s">
        <v>2208</v>
      </c>
      <c r="W26" s="972" t="s">
        <v>2208</v>
      </c>
      <c r="X26" s="851"/>
      <c r="Y26" s="1008"/>
      <c r="Z26" s="854"/>
      <c r="AA26" s="857"/>
      <c r="AB26" s="854"/>
      <c r="AC26" s="854"/>
      <c r="AD26" s="854"/>
    </row>
    <row customHeight="1" ht="18">
      <c r="A27" s="853"/>
      <c r="B27" s="907">
        <v>10</v>
      </c>
      <c r="C27" s="851" t="s">
        <v>678</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753</v>
      </c>
      <c r="P27" s="965" t="s">
        <v>747</v>
      </c>
      <c r="Q27" s="965" t="s">
        <v>2209</v>
      </c>
      <c r="R27" s="965" t="s">
        <v>747</v>
      </c>
      <c r="S27" s="965"/>
      <c r="T27" s="972" t="s">
        <v>2210</v>
      </c>
      <c r="U27" s="972" t="s">
        <v>2210</v>
      </c>
      <c r="V27" s="972" t="s">
        <v>2210</v>
      </c>
      <c r="W27" s="972" t="s">
        <v>2210</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755</v>
      </c>
      <c r="P28" s="965"/>
      <c r="Q28" s="965"/>
      <c r="R28" s="965"/>
      <c r="S28" s="965"/>
      <c r="T28" s="972" t="s">
        <v>2211</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762</v>
      </c>
      <c r="P29" s="965" t="s">
        <v>327</v>
      </c>
      <c r="Q29" s="965"/>
      <c r="R29" s="965" t="s">
        <v>327</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2212</v>
      </c>
      <c r="V29" s="854"/>
      <c r="W29" s="854" t="s">
        <v>2212</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764</v>
      </c>
      <c r="P30" s="965" t="s">
        <v>755</v>
      </c>
      <c r="Q30" s="965" t="s">
        <v>764</v>
      </c>
      <c r="R30" s="965" t="s">
        <v>755</v>
      </c>
      <c r="S30" s="965"/>
      <c r="T30" s="972" t="s">
        <v>2213</v>
      </c>
      <c r="U30" s="854" t="s">
        <v>2213</v>
      </c>
      <c r="V30" s="854" t="s">
        <v>2213</v>
      </c>
      <c r="W30" s="854" t="s">
        <v>2213</v>
      </c>
      <c r="X30" s="851"/>
      <c r="Y30" s="1008"/>
      <c r="Z30" s="854"/>
      <c r="AA30" s="857" t="s">
        <v>2214</v>
      </c>
      <c r="AB30" s="857" t="s">
        <v>2214</v>
      </c>
      <c r="AC30" s="857" t="s">
        <v>2214</v>
      </c>
      <c r="AD30" s="854"/>
    </row>
    <row customHeight="1" ht="18">
      <c r="A31" s="853"/>
      <c r="B31" s="907">
        <v>14</v>
      </c>
      <c r="C31" s="851" t="s">
        <v>2215</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2216</v>
      </c>
      <c r="P31" s="965" t="s">
        <v>758</v>
      </c>
      <c r="Q31" s="965" t="s">
        <v>2216</v>
      </c>
      <c r="R31" s="965" t="s">
        <v>758</v>
      </c>
      <c r="S31" s="965"/>
      <c r="T31" s="973" t="s">
        <v>2217</v>
      </c>
      <c r="U31" s="854" t="s">
        <v>2217</v>
      </c>
      <c r="V31" s="854" t="s">
        <v>2217</v>
      </c>
      <c r="W31" s="854" t="s">
        <v>2217</v>
      </c>
      <c r="X31" s="851"/>
      <c r="Y31" s="1008"/>
      <c r="Z31" s="854"/>
      <c r="AA31" s="857"/>
      <c r="AB31" s="857"/>
      <c r="AC31" s="857"/>
      <c r="AD31" s="854"/>
    </row>
    <row customHeight="1" ht="36">
      <c r="A32" s="853"/>
      <c r="B32" s="907">
        <v>15</v>
      </c>
      <c r="C32" s="851" t="s">
        <v>2218</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2219</v>
      </c>
      <c r="P32" s="965" t="s">
        <v>760</v>
      </c>
      <c r="Q32" s="965" t="s">
        <v>2219</v>
      </c>
      <c r="R32" s="965" t="s">
        <v>760</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2220</v>
      </c>
      <c r="V32" s="854" t="s">
        <v>2220</v>
      </c>
      <c r="W32" s="854" t="s">
        <v>2220</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766</v>
      </c>
      <c r="P33" s="965" t="s">
        <v>762</v>
      </c>
      <c r="Q33" s="965" t="s">
        <v>766</v>
      </c>
      <c r="R33" s="965" t="s">
        <v>762</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2221</v>
      </c>
      <c r="V33" s="854" t="s">
        <v>2221</v>
      </c>
      <c r="W33" s="854" t="s">
        <v>2222</v>
      </c>
      <c r="X33" s="851"/>
      <c r="Y33" s="1008"/>
      <c r="Z33" s="854"/>
      <c r="AA33" s="857" t="s">
        <v>2223</v>
      </c>
      <c r="AB33" s="857" t="s">
        <v>2223</v>
      </c>
      <c r="AC33" s="857" t="s">
        <v>2223</v>
      </c>
      <c r="AD33" s="854"/>
    </row>
    <row customHeight="1" ht="27">
      <c r="A34" s="853"/>
      <c r="B34" s="907">
        <v>17</v>
      </c>
      <c r="C34" s="851" t="s">
        <v>2224</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2225</v>
      </c>
      <c r="P34" s="965" t="s">
        <v>2207</v>
      </c>
      <c r="Q34" s="965" t="s">
        <v>2225</v>
      </c>
      <c r="R34" s="965" t="s">
        <v>2207</v>
      </c>
      <c r="S34" s="965"/>
      <c r="T34" s="974" t="s">
        <v>2226</v>
      </c>
      <c r="U34" s="854" t="s">
        <v>2226</v>
      </c>
      <c r="V34" s="854" t="s">
        <v>2226</v>
      </c>
      <c r="W34" s="854" t="s">
        <v>2227</v>
      </c>
      <c r="X34" s="851"/>
      <c r="Y34" s="1008"/>
      <c r="Z34" s="854"/>
      <c r="AA34" s="857"/>
      <c r="AB34" s="854"/>
      <c r="AC34" s="854"/>
      <c r="AD34" s="854"/>
    </row>
    <row customHeight="1" ht="45">
      <c r="A35" s="853"/>
      <c r="B35" s="907">
        <v>18</v>
      </c>
      <c r="C35" s="851" t="s">
        <v>2228</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2229</v>
      </c>
      <c r="P35" s="965" t="s">
        <v>2209</v>
      </c>
      <c r="Q35" s="965" t="s">
        <v>2229</v>
      </c>
      <c r="R35" s="965" t="s">
        <v>2209</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2230</v>
      </c>
      <c r="V35" s="854" t="s">
        <v>2230</v>
      </c>
      <c r="W35" s="854" t="s">
        <v>2230</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768</v>
      </c>
      <c r="P36" s="965" t="s">
        <v>764</v>
      </c>
      <c r="Q36" s="965" t="s">
        <v>768</v>
      </c>
      <c r="R36" s="965" t="s">
        <v>764</v>
      </c>
      <c r="S36" s="965"/>
      <c r="T36" s="972" t="s">
        <v>2231</v>
      </c>
      <c r="U36" s="854" t="s">
        <v>2231</v>
      </c>
      <c r="V36" s="854" t="s">
        <v>2231</v>
      </c>
      <c r="W36" s="854" t="s">
        <v>2231</v>
      </c>
      <c r="X36" s="851"/>
      <c r="Y36" s="1008"/>
      <c r="Z36" s="854"/>
      <c r="AA36" s="857"/>
      <c r="AB36" s="854"/>
      <c r="AC36" s="854"/>
      <c r="AD36" s="854"/>
    </row>
    <row customHeight="1" ht="18">
      <c r="A37" s="853"/>
      <c r="B37" s="907">
        <v>20</v>
      </c>
      <c r="C37" s="851" t="s">
        <v>2232</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2233</v>
      </c>
      <c r="P37" s="965" t="s">
        <v>2216</v>
      </c>
      <c r="Q37" s="965" t="s">
        <v>2233</v>
      </c>
      <c r="R37" s="965" t="s">
        <v>2216</v>
      </c>
      <c r="S37" s="965"/>
      <c r="T37" s="972" t="s">
        <v>2234</v>
      </c>
      <c r="U37" s="854" t="s">
        <v>2234</v>
      </c>
      <c r="V37" s="854" t="s">
        <v>2234</v>
      </c>
      <c r="W37" s="854" t="s">
        <v>2234</v>
      </c>
      <c r="X37" s="851"/>
      <c r="Y37" s="1008"/>
      <c r="Z37" s="854"/>
      <c r="AA37" s="857"/>
      <c r="AB37" s="854"/>
      <c r="AC37" s="854"/>
      <c r="AD37" s="854"/>
    </row>
    <row customHeight="1" ht="18">
      <c r="A38" s="853"/>
      <c r="B38" s="907">
        <v>21</v>
      </c>
      <c r="C38" s="851" t="s">
        <v>2235</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2236</v>
      </c>
      <c r="P38" s="965" t="s">
        <v>2219</v>
      </c>
      <c r="Q38" s="965" t="s">
        <v>2236</v>
      </c>
      <c r="R38" s="965" t="s">
        <v>2219</v>
      </c>
      <c r="S38" s="965"/>
      <c r="T38" s="972" t="s">
        <v>2237</v>
      </c>
      <c r="U38" s="854" t="s">
        <v>2237</v>
      </c>
      <c r="V38" s="854" t="s">
        <v>2237</v>
      </c>
      <c r="W38" s="854" t="s">
        <v>2237</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772</v>
      </c>
      <c r="P39" s="965" t="s">
        <v>766</v>
      </c>
      <c r="Q39" s="965" t="s">
        <v>772</v>
      </c>
      <c r="R39" s="965" t="s">
        <v>766</v>
      </c>
      <c r="S39" s="965"/>
      <c r="T39" s="972" t="s">
        <v>2238</v>
      </c>
      <c r="U39" s="854" t="s">
        <v>2239</v>
      </c>
      <c r="V39" s="854" t="s">
        <v>2240</v>
      </c>
      <c r="W39" s="854" t="s">
        <v>2241</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824</v>
      </c>
      <c r="P40" s="965" t="s">
        <v>768</v>
      </c>
      <c r="Q40" s="965" t="s">
        <v>824</v>
      </c>
      <c r="R40" s="965" t="s">
        <v>768</v>
      </c>
      <c r="S40" s="965"/>
      <c r="T40" s="851" t="s">
        <v>2242</v>
      </c>
      <c r="U40" s="851" t="s">
        <v>2242</v>
      </c>
      <c r="V40" s="851" t="s">
        <v>2242</v>
      </c>
      <c r="W40" s="851" t="s">
        <v>2242</v>
      </c>
      <c r="X40" s="851"/>
      <c r="Y40" s="1008"/>
      <c r="Z40" s="854" t="s">
        <v>2243</v>
      </c>
      <c r="AA40" s="857" t="s">
        <v>2243</v>
      </c>
      <c r="AB40" s="857" t="s">
        <v>2243</v>
      </c>
      <c r="AC40" s="857" t="s">
        <v>2243</v>
      </c>
      <c r="AD40" s="854"/>
    </row>
    <row customHeight="1" ht="27">
      <c r="A41" s="853"/>
      <c r="B41" s="907">
        <v>24</v>
      </c>
      <c r="C41" s="851" t="s">
        <v>2244</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2245</v>
      </c>
      <c r="P41" s="965" t="s">
        <v>2233</v>
      </c>
      <c r="Q41" s="965" t="s">
        <v>2245</v>
      </c>
      <c r="R41" s="965" t="s">
        <v>2233</v>
      </c>
      <c r="S41" s="965"/>
      <c r="T41" s="851" t="s">
        <v>2246</v>
      </c>
      <c r="U41" s="851" t="s">
        <v>2246</v>
      </c>
      <c r="V41" s="851" t="s">
        <v>2246</v>
      </c>
      <c r="W41" s="851" t="s">
        <v>2246</v>
      </c>
      <c r="X41" s="851"/>
      <c r="Y41" s="1008"/>
      <c r="Z41" s="854" t="s">
        <v>2247</v>
      </c>
      <c r="AA41" s="854" t="s">
        <v>2247</v>
      </c>
      <c r="AB41" s="854" t="s">
        <v>2247</v>
      </c>
      <c r="AC41" s="854" t="s">
        <v>2247</v>
      </c>
      <c r="AD41" s="854"/>
    </row>
    <row customHeight="1" ht="27">
      <c r="A42" s="853"/>
      <c r="B42" s="907">
        <v>25</v>
      </c>
      <c r="C42" s="851" t="s">
        <v>2248</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2249</v>
      </c>
      <c r="P42" s="965" t="s">
        <v>2236</v>
      </c>
      <c r="Q42" s="965" t="s">
        <v>2249</v>
      </c>
      <c r="R42" s="965" t="s">
        <v>2236</v>
      </c>
      <c r="S42" s="965"/>
      <c r="T42" s="851" t="s">
        <v>2250</v>
      </c>
      <c r="U42" s="851" t="s">
        <v>2250</v>
      </c>
      <c r="V42" s="851" t="s">
        <v>2250</v>
      </c>
      <c r="W42" s="851" t="s">
        <v>2250</v>
      </c>
      <c r="X42" s="851"/>
      <c r="Y42" s="1008"/>
      <c r="Z42" s="854" t="s">
        <v>2251</v>
      </c>
      <c r="AA42" s="854" t="s">
        <v>2251</v>
      </c>
      <c r="AB42" s="854" t="s">
        <v>2251</v>
      </c>
      <c r="AC42" s="854" t="s">
        <v>2251</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2252</v>
      </c>
      <c r="P43" s="965" t="s">
        <v>772</v>
      </c>
      <c r="Q43" s="965" t="s">
        <v>2252</v>
      </c>
      <c r="R43" s="965" t="s">
        <v>772</v>
      </c>
      <c r="S43" s="965"/>
      <c r="T43" s="851" t="s">
        <v>2253</v>
      </c>
      <c r="U43" s="851" t="s">
        <v>2253</v>
      </c>
      <c r="V43" s="851" t="s">
        <v>2253</v>
      </c>
      <c r="W43" s="851" t="s">
        <v>2253</v>
      </c>
      <c r="X43" s="851"/>
      <c r="Y43" s="1008"/>
      <c r="Z43" s="854" t="s">
        <v>2254</v>
      </c>
      <c r="AA43" s="854" t="s">
        <v>2254</v>
      </c>
      <c r="AB43" s="854" t="s">
        <v>2254</v>
      </c>
      <c r="AC43" s="854" t="s">
        <v>2254</v>
      </c>
      <c r="AD43" s="854"/>
    </row>
    <row customHeight="1" ht="27">
      <c r="A44" s="853"/>
      <c r="B44" s="907">
        <v>27</v>
      </c>
      <c r="C44" s="851" t="s">
        <v>2255</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2256</v>
      </c>
      <c r="P44" s="965" t="s">
        <v>775</v>
      </c>
      <c r="Q44" s="965" t="s">
        <v>2256</v>
      </c>
      <c r="R44" s="965" t="s">
        <v>775</v>
      </c>
      <c r="S44" s="965"/>
      <c r="T44" s="851" t="s">
        <v>2246</v>
      </c>
      <c r="U44" s="851" t="s">
        <v>2246</v>
      </c>
      <c r="V44" s="851" t="s">
        <v>2246</v>
      </c>
      <c r="W44" s="851" t="s">
        <v>2246</v>
      </c>
      <c r="X44" s="851"/>
      <c r="Y44" s="1008"/>
      <c r="Z44" s="854" t="s">
        <v>2257</v>
      </c>
      <c r="AA44" s="854" t="s">
        <v>2257</v>
      </c>
      <c r="AB44" s="854" t="s">
        <v>2257</v>
      </c>
      <c r="AC44" s="854" t="s">
        <v>2257</v>
      </c>
      <c r="AD44" s="854"/>
    </row>
    <row customHeight="1" ht="27">
      <c r="A45" s="853"/>
      <c r="B45" s="907">
        <v>28</v>
      </c>
      <c r="C45" s="851" t="s">
        <v>2258</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2259</v>
      </c>
      <c r="P45" s="965" t="s">
        <v>778</v>
      </c>
      <c r="Q45" s="965" t="s">
        <v>2259</v>
      </c>
      <c r="R45" s="965" t="s">
        <v>778</v>
      </c>
      <c r="S45" s="965"/>
      <c r="T45" s="851" t="s">
        <v>2250</v>
      </c>
      <c r="U45" s="851" t="s">
        <v>2250</v>
      </c>
      <c r="V45" s="851" t="s">
        <v>2250</v>
      </c>
      <c r="W45" s="851" t="s">
        <v>2250</v>
      </c>
      <c r="X45" s="851"/>
      <c r="Y45" s="1008"/>
      <c r="Z45" s="854" t="s">
        <v>2260</v>
      </c>
      <c r="AA45" s="854" t="s">
        <v>2260</v>
      </c>
      <c r="AB45" s="854" t="s">
        <v>2260</v>
      </c>
      <c r="AC45" s="854" t="s">
        <v>2260</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2261</v>
      </c>
      <c r="P46" s="965" t="s">
        <v>824</v>
      </c>
      <c r="Q46" s="965" t="s">
        <v>2261</v>
      </c>
      <c r="R46" s="965" t="s">
        <v>824</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2262</v>
      </c>
      <c r="V46" s="851" t="s">
        <v>2262</v>
      </c>
      <c r="W46" s="851" t="s">
        <v>2262</v>
      </c>
      <c r="X46" s="851"/>
      <c r="Y46" s="1008"/>
      <c r="Z46" s="854" t="s">
        <v>2263</v>
      </c>
      <c r="AA46" s="854" t="s">
        <v>2264</v>
      </c>
      <c r="AB46" s="854" t="s">
        <v>2264</v>
      </c>
      <c r="AC46" s="854" t="s">
        <v>2264</v>
      </c>
      <c r="AD46" s="854"/>
    </row>
    <row customHeight="1" ht="54">
      <c r="A47" s="853"/>
      <c r="B47" s="907">
        <v>30</v>
      </c>
      <c r="C47" s="851" t="s">
        <v>2265</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2266</v>
      </c>
      <c r="P47" s="965" t="s">
        <v>2245</v>
      </c>
      <c r="Q47" s="965" t="s">
        <v>2266</v>
      </c>
      <c r="R47" s="965" t="s">
        <v>2245</v>
      </c>
      <c r="S47" s="965"/>
      <c r="T47" s="851" t="s">
        <v>2267</v>
      </c>
      <c r="U47" s="851" t="s">
        <v>2267</v>
      </c>
      <c r="V47" s="851" t="s">
        <v>2267</v>
      </c>
      <c r="W47" s="851" t="s">
        <v>2267</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2252</v>
      </c>
      <c r="Q48" s="965" t="s">
        <v>2268</v>
      </c>
      <c r="R48" s="965" t="s">
        <v>2252</v>
      </c>
      <c r="S48" s="965"/>
      <c r="T48" s="851"/>
      <c r="U48" s="851" t="s">
        <v>2269</v>
      </c>
      <c r="V48" s="851" t="s">
        <v>2270</v>
      </c>
      <c r="W48" s="851" t="s">
        <v>2270</v>
      </c>
      <c r="X48" s="851"/>
      <c r="Y48" s="1008"/>
      <c r="Z48" s="854"/>
      <c r="AA48" s="857" t="s">
        <v>2264</v>
      </c>
      <c r="AB48" s="857" t="s">
        <v>2264</v>
      </c>
      <c r="AC48" s="857" t="s">
        <v>2264</v>
      </c>
      <c r="AD48" s="854"/>
    </row>
    <row customHeight="1" ht="54">
      <c r="A49" s="853"/>
      <c r="B49" s="907">
        <v>32</v>
      </c>
      <c r="C49" s="851" t="s">
        <v>2271</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2256</v>
      </c>
      <c r="Q49" s="965" t="s">
        <v>2272</v>
      </c>
      <c r="R49" s="965" t="s">
        <v>2256</v>
      </c>
      <c r="S49" s="965"/>
      <c r="T49" s="851"/>
      <c r="U49" s="851" t="s">
        <v>2267</v>
      </c>
      <c r="V49" s="851" t="s">
        <v>2267</v>
      </c>
      <c r="W49" s="851" t="s">
        <v>2267</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2268</v>
      </c>
      <c r="P50" s="965" t="s">
        <v>2261</v>
      </c>
      <c r="Q50" s="965" t="s">
        <v>2273</v>
      </c>
      <c r="R50" s="965" t="s">
        <v>2261</v>
      </c>
      <c r="S50" s="965"/>
      <c r="T50" s="851" t="s">
        <v>2274</v>
      </c>
      <c r="U50" s="851" t="s">
        <v>2275</v>
      </c>
      <c r="V50" s="851" t="s">
        <v>2276</v>
      </c>
      <c r="W50" s="851" t="s">
        <v>2277</v>
      </c>
      <c r="X50" s="851"/>
      <c r="Y50" s="1008"/>
      <c r="Z50" s="854" t="s">
        <v>2278</v>
      </c>
      <c r="AA50" s="857" t="s">
        <v>2279</v>
      </c>
      <c r="AB50" s="857" t="s">
        <v>2279</v>
      </c>
      <c r="AC50" s="857" t="s">
        <v>2279</v>
      </c>
      <c r="AD50" s="854"/>
    </row>
    <row customHeight="1" ht="27">
      <c r="A51" s="853"/>
      <c r="B51" s="907">
        <v>34</v>
      </c>
      <c r="C51" s="851" t="s">
        <v>2280</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2281</v>
      </c>
      <c r="U51" s="851"/>
      <c r="V51" s="851"/>
      <c r="W51" s="851"/>
      <c r="X51" s="851"/>
      <c r="Y51" s="1008"/>
      <c r="Z51" s="854"/>
      <c r="AA51" s="857"/>
      <c r="AB51" s="857"/>
      <c r="AC51" s="857"/>
      <c r="AD51" s="854"/>
    </row>
    <row customHeight="1" ht="36">
      <c r="A52" s="853"/>
      <c r="B52" s="907">
        <v>35</v>
      </c>
      <c r="C52" s="851" t="s">
        <v>2177</v>
      </c>
      <c r="D52" s="975" t="s">
        <v>2177</v>
      </c>
      <c r="E52" s="851" t="s">
        <v>2177</v>
      </c>
      <c r="F52" s="851" t="s">
        <v>2177</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2282</v>
      </c>
      <c r="U52" s="851" t="s">
        <v>2283</v>
      </c>
      <c r="V52" s="851" t="s">
        <v>2284</v>
      </c>
      <c r="W52" s="851" t="s">
        <v>2285</v>
      </c>
      <c r="X52" s="851"/>
      <c r="Y52" s="1008"/>
      <c r="Z52" s="854" t="s">
        <v>782</v>
      </c>
      <c r="AA52" s="857" t="s">
        <v>782</v>
      </c>
      <c r="AB52" s="857" t="s">
        <v>782</v>
      </c>
      <c r="AC52" s="857" t="s">
        <v>782</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786</v>
      </c>
      <c r="P53" s="965" t="s">
        <v>341</v>
      </c>
      <c r="Q53" s="965" t="s">
        <v>341</v>
      </c>
      <c r="R53" s="965" t="s">
        <v>341</v>
      </c>
      <c r="S53" s="965"/>
      <c r="T53" s="851" t="s">
        <v>2286</v>
      </c>
      <c r="U53" s="851" t="s">
        <v>2286</v>
      </c>
      <c r="V53" s="851" t="s">
        <v>2286</v>
      </c>
      <c r="W53" s="851" t="s">
        <v>2286</v>
      </c>
      <c r="X53" s="851"/>
      <c r="Y53" s="1008"/>
      <c r="Z53" s="854"/>
      <c r="AA53" s="857"/>
      <c r="AB53" s="854"/>
      <c r="AC53" s="854"/>
      <c r="AD53" s="854"/>
    </row>
    <row customHeight="1" ht="18">
      <c r="A54" s="853"/>
      <c r="B54" s="907">
        <v>37</v>
      </c>
      <c r="C54" s="851" t="s">
        <v>2183</v>
      </c>
      <c r="D54" s="975" t="s">
        <v>2183</v>
      </c>
      <c r="E54" s="851" t="s">
        <v>2183</v>
      </c>
      <c r="F54" s="851" t="s">
        <v>2183</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119</v>
      </c>
      <c r="P54" s="965" t="s">
        <v>91</v>
      </c>
      <c r="Q54" s="965" t="s">
        <v>91</v>
      </c>
      <c r="R54" s="965" t="s">
        <v>91</v>
      </c>
      <c r="S54" s="965"/>
      <c r="T54" s="851" t="s">
        <v>784</v>
      </c>
      <c r="U54" s="851" t="s">
        <v>784</v>
      </c>
      <c r="V54" s="851" t="s">
        <v>784</v>
      </c>
      <c r="W54" s="851" t="s">
        <v>784</v>
      </c>
      <c r="X54" s="851"/>
      <c r="Y54" s="1008"/>
      <c r="Z54" s="854" t="s">
        <v>785</v>
      </c>
      <c r="AA54" s="854" t="s">
        <v>785</v>
      </c>
      <c r="AB54" s="854" t="s">
        <v>785</v>
      </c>
      <c r="AC54" s="854" t="s">
        <v>785</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330</v>
      </c>
      <c r="P55" s="965" t="s">
        <v>786</v>
      </c>
      <c r="Q55" s="965" t="s">
        <v>786</v>
      </c>
      <c r="R55" s="965" t="s">
        <v>786</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2287</v>
      </c>
      <c r="V55" s="851" t="s">
        <v>2287</v>
      </c>
      <c r="W55" s="851" t="s">
        <v>2287</v>
      </c>
      <c r="X55" s="851"/>
      <c r="Y55" s="1008"/>
      <c r="Z55" s="854" t="s">
        <v>2288</v>
      </c>
      <c r="AA55" s="854" t="s">
        <v>2288</v>
      </c>
      <c r="AB55" s="854" t="s">
        <v>2288</v>
      </c>
      <c r="AC55" s="854" t="s">
        <v>2288</v>
      </c>
      <c r="AD55" s="854"/>
    </row>
    <row customHeight="1" ht="27">
      <c r="A56" s="853"/>
      <c r="B56" s="907">
        <v>39</v>
      </c>
      <c r="C56" s="851" t="s">
        <v>1223</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1346</v>
      </c>
      <c r="P56" s="965" t="s">
        <v>789</v>
      </c>
      <c r="Q56" s="965" t="s">
        <v>789</v>
      </c>
      <c r="R56" s="965" t="s">
        <v>789</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2289</v>
      </c>
      <c r="V56" s="851" t="s">
        <v>2289</v>
      </c>
      <c r="W56" s="851" t="s">
        <v>2289</v>
      </c>
      <c r="X56" s="851"/>
      <c r="Y56" s="1008"/>
      <c r="Z56" s="854" t="s">
        <v>791</v>
      </c>
      <c r="AA56" s="854" t="s">
        <v>791</v>
      </c>
      <c r="AB56" s="854" t="s">
        <v>791</v>
      </c>
      <c r="AC56" s="854" t="s">
        <v>791</v>
      </c>
      <c r="AD56" s="854"/>
    </row>
    <row customHeight="1" ht="27">
      <c r="A57" s="853"/>
      <c r="B57" s="907">
        <v>40</v>
      </c>
      <c r="C57" s="851" t="s">
        <v>1225</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2290</v>
      </c>
      <c r="P57" s="965" t="s">
        <v>792</v>
      </c>
      <c r="Q57" s="965" t="s">
        <v>792</v>
      </c>
      <c r="R57" s="965" t="s">
        <v>792</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2291</v>
      </c>
      <c r="V57" s="851" t="s">
        <v>2291</v>
      </c>
      <c r="W57" s="851" t="s">
        <v>2291</v>
      </c>
      <c r="X57" s="851"/>
      <c r="Y57" s="1008"/>
      <c r="Z57" s="854" t="s">
        <v>794</v>
      </c>
      <c r="AA57" s="854" t="s">
        <v>794</v>
      </c>
      <c r="AB57" s="854" t="s">
        <v>794</v>
      </c>
      <c r="AC57" s="854" t="s">
        <v>794</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927</v>
      </c>
      <c r="P58" s="965" t="s">
        <v>830</v>
      </c>
      <c r="Q58" s="965" t="s">
        <v>830</v>
      </c>
      <c r="R58" s="965" t="s">
        <v>830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2292</v>
      </c>
      <c r="V58" s="851" t="s">
        <v>2292</v>
      </c>
      <c r="W58" s="851" t="s">
        <v>2292</v>
      </c>
      <c r="X58" s="851"/>
      <c r="Y58" s="1008"/>
      <c r="Z58" s="854"/>
      <c r="AA58" s="857"/>
      <c r="AB58" s="854"/>
      <c r="AC58" s="854"/>
      <c r="AD58" s="854"/>
    </row>
    <row customHeight="1" ht="36">
      <c r="A59" s="853"/>
      <c r="B59" s="907">
        <v>42</v>
      </c>
      <c r="C59" s="851">
        <v>3</v>
      </c>
      <c r="D59" s="975" t="s">
        <v>2280</v>
      </c>
      <c r="E59" s="851" t="s">
        <v>2280</v>
      </c>
      <c r="F59" s="851" t="s">
        <v>2280</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119</v>
      </c>
      <c r="Q59" s="965" t="s">
        <v>119</v>
      </c>
      <c r="R59" s="965" t="s">
        <v>119</v>
      </c>
      <c r="S59" s="965"/>
      <c r="T59" s="851"/>
      <c r="U59" s="851" t="s">
        <v>2293</v>
      </c>
      <c r="V59" s="851" t="s">
        <v>2294</v>
      </c>
      <c r="W59" s="851" t="s">
        <v>2295</v>
      </c>
      <c r="X59" s="851"/>
      <c r="Y59" s="1008"/>
      <c r="Z59" s="854"/>
      <c r="AA59" s="857"/>
      <c r="AB59" s="854"/>
      <c r="AC59" s="854"/>
      <c r="AD59" s="854"/>
    </row>
    <row customHeight="1" ht="81">
      <c r="A60" s="853"/>
      <c r="B60" s="907">
        <v>43</v>
      </c>
      <c r="C60" s="851" t="s">
        <v>2296</v>
      </c>
      <c r="D60" s="975" t="s">
        <v>2296</v>
      </c>
      <c r="E60" s="851" t="s">
        <v>2296</v>
      </c>
      <c r="F60" s="851" t="s">
        <v>2296</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650</v>
      </c>
      <c r="U60" s="851" t="s">
        <v>650</v>
      </c>
      <c r="V60" s="851" t="s">
        <v>650</v>
      </c>
      <c r="W60" s="851" t="s">
        <v>650</v>
      </c>
      <c r="X60" s="851"/>
      <c r="Y60" s="1008"/>
      <c r="Z60" s="854" t="s">
        <v>2297</v>
      </c>
      <c r="AA60" s="857" t="s">
        <v>2298</v>
      </c>
      <c r="AB60" s="854" t="s">
        <v>2299</v>
      </c>
      <c r="AC60" s="854" t="s">
        <v>2298</v>
      </c>
      <c r="AD60" s="854"/>
    </row>
    <row customHeight="1" ht="9">
      <c r="A61" s="853"/>
      <c r="B61" s="907">
        <v>44</v>
      </c>
      <c r="C61" s="851"/>
      <c r="D61" s="975" t="s">
        <v>2300</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2301</v>
      </c>
      <c r="V61" s="851"/>
      <c r="W61" s="851"/>
      <c r="X61" s="851"/>
      <c r="Y61" s="1008"/>
      <c r="Z61" s="854"/>
      <c r="AA61" s="857"/>
      <c r="AB61" s="854"/>
      <c r="AC61" s="854"/>
      <c r="AD61" s="854"/>
    </row>
    <row customHeight="1" ht="9">
      <c r="A62" s="853"/>
      <c r="B62" s="907">
        <v>45</v>
      </c>
      <c r="C62" s="851"/>
      <c r="D62" s="975" t="s">
        <v>2302</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120</v>
      </c>
      <c r="Q62" s="965"/>
      <c r="R62" s="965"/>
      <c r="S62" s="965"/>
      <c r="T62" s="851"/>
      <c r="U62" s="851" t="s">
        <v>2303</v>
      </c>
      <c r="V62" s="851"/>
      <c r="W62" s="851"/>
      <c r="X62" s="851"/>
      <c r="Y62" s="1008"/>
      <c r="Z62" s="854"/>
      <c r="AA62" s="857"/>
      <c r="AB62" s="854"/>
      <c r="AC62" s="854"/>
      <c r="AD62" s="854"/>
    </row>
    <row customHeight="1" ht="18">
      <c r="A63" s="853"/>
      <c r="B63" s="907">
        <v>46</v>
      </c>
      <c r="C63" s="851"/>
      <c r="D63" s="975" t="s">
        <v>2304</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167</v>
      </c>
      <c r="Q63" s="965"/>
      <c r="R63" s="965"/>
      <c r="S63" s="965"/>
      <c r="T63" s="851"/>
      <c r="U63" s="851" t="s">
        <v>2305</v>
      </c>
      <c r="V63" s="851"/>
      <c r="W63" s="851"/>
      <c r="X63" s="851"/>
      <c r="Y63" s="1008"/>
      <c r="Z63" s="854"/>
      <c r="AA63" s="857"/>
      <c r="AB63" s="854"/>
      <c r="AC63" s="854"/>
      <c r="AD63" s="854"/>
    </row>
    <row customHeight="1" ht="18">
      <c r="A64" s="853"/>
      <c r="B64" s="907">
        <v>47</v>
      </c>
      <c r="C64" s="851"/>
      <c r="D64" s="975" t="s">
        <v>2306</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168</v>
      </c>
      <c r="Q64" s="965"/>
      <c r="R64" s="965"/>
      <c r="S64" s="965"/>
      <c r="T64" s="851"/>
      <c r="U64" s="851" t="s">
        <v>2307</v>
      </c>
      <c r="V64" s="851"/>
      <c r="W64" s="851"/>
      <c r="X64" s="851"/>
      <c r="Y64" s="1008"/>
      <c r="Z64" s="854"/>
      <c r="AA64" s="857" t="s">
        <v>2308</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2224</v>
      </c>
      <c r="Q65" s="965"/>
      <c r="R65" s="965"/>
      <c r="S65" s="965"/>
      <c r="T65" s="851"/>
      <c r="U65" s="851" t="s">
        <v>2309</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2228</v>
      </c>
      <c r="Q66" s="965"/>
      <c r="R66" s="965"/>
      <c r="S66" s="965"/>
      <c r="T66" s="851"/>
      <c r="U66" s="851" t="s">
        <v>2310</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2311</v>
      </c>
      <c r="Q67" s="965"/>
      <c r="R67" s="965"/>
      <c r="S67" s="965"/>
      <c r="T67" s="851"/>
      <c r="U67" s="851" t="s">
        <v>2312</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2313</v>
      </c>
      <c r="Q68" s="965"/>
      <c r="R68" s="965"/>
      <c r="S68" s="965"/>
      <c r="T68" s="851"/>
      <c r="U68" s="851" t="s">
        <v>2314</v>
      </c>
      <c r="V68" s="851"/>
      <c r="W68" s="851"/>
      <c r="X68" s="851"/>
      <c r="Y68" s="1008"/>
      <c r="Z68" s="854"/>
      <c r="AA68" s="857"/>
      <c r="AB68" s="854"/>
      <c r="AC68" s="854"/>
      <c r="AD68" s="854"/>
    </row>
    <row customHeight="1" ht="9">
      <c r="A69" s="853"/>
      <c r="B69" s="907">
        <v>52</v>
      </c>
      <c r="C69" s="851"/>
      <c r="D69" s="975" t="s">
        <v>2315</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169</v>
      </c>
      <c r="Q69" s="965"/>
      <c r="R69" s="965"/>
      <c r="S69" s="965"/>
      <c r="T69" s="851"/>
      <c r="U69" s="851" t="s">
        <v>2316</v>
      </c>
      <c r="V69" s="851"/>
      <c r="W69" s="851"/>
      <c r="X69" s="851"/>
      <c r="Y69" s="1008"/>
      <c r="Z69" s="854"/>
      <c r="AA69" s="857"/>
      <c r="AB69" s="854"/>
      <c r="AC69" s="854"/>
      <c r="AD69" s="854"/>
    </row>
    <row customHeight="1" ht="27">
      <c r="A70" s="853"/>
      <c r="B70" s="907">
        <v>53</v>
      </c>
      <c r="C70" s="851"/>
      <c r="D70" s="975"/>
      <c r="E70" s="851" t="s">
        <v>2300</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2317</v>
      </c>
      <c r="W70" s="851"/>
      <c r="X70" s="851"/>
      <c r="Y70" s="1008"/>
      <c r="Z70" s="854"/>
      <c r="AA70" s="857"/>
      <c r="AB70" s="854"/>
      <c r="AC70" s="854"/>
      <c r="AD70" s="854"/>
    </row>
    <row customHeight="1" ht="36">
      <c r="A71" s="853"/>
      <c r="B71" s="907">
        <v>54</v>
      </c>
      <c r="C71" s="851"/>
      <c r="D71" s="975"/>
      <c r="E71" s="851" t="s">
        <v>2302</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120</v>
      </c>
      <c r="R71" s="965"/>
      <c r="S71" s="965"/>
      <c r="T71" s="851"/>
      <c r="U71" s="851"/>
      <c r="V71" s="851" t="s">
        <v>2318</v>
      </c>
      <c r="W71" s="851"/>
      <c r="X71" s="851"/>
      <c r="Y71" s="1008"/>
      <c r="Z71" s="854"/>
      <c r="AA71" s="857"/>
      <c r="AB71" s="854"/>
      <c r="AC71" s="854"/>
      <c r="AD71" s="854"/>
    </row>
    <row customHeight="1" ht="27">
      <c r="A72" s="853"/>
      <c r="B72" s="907">
        <v>55</v>
      </c>
      <c r="C72" s="851"/>
      <c r="D72" s="975"/>
      <c r="E72" s="851" t="s">
        <v>2304</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167</v>
      </c>
      <c r="R72" s="965"/>
      <c r="S72" s="965"/>
      <c r="T72" s="851"/>
      <c r="U72" s="851"/>
      <c r="V72" s="851" t="s">
        <v>2319</v>
      </c>
      <c r="W72" s="851"/>
      <c r="X72" s="851"/>
      <c r="Y72" s="1008"/>
      <c r="Z72" s="854"/>
      <c r="AA72" s="857"/>
      <c r="AB72" s="854"/>
      <c r="AC72" s="854"/>
      <c r="AD72" s="854"/>
    </row>
    <row customHeight="1" ht="36">
      <c r="A73" s="853"/>
      <c r="B73" s="907">
        <v>56</v>
      </c>
      <c r="C73" s="851"/>
      <c r="D73" s="975"/>
      <c r="E73" s="851" t="s">
        <v>2306</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168</v>
      </c>
      <c r="R73" s="965"/>
      <c r="S73" s="965"/>
      <c r="T73" s="851"/>
      <c r="U73" s="851"/>
      <c r="V73" s="851" t="s">
        <v>2320</v>
      </c>
      <c r="W73" s="851"/>
      <c r="X73" s="851"/>
      <c r="Y73" s="1008"/>
      <c r="Z73" s="854"/>
      <c r="AA73" s="857"/>
      <c r="AB73" s="854"/>
      <c r="AC73" s="854"/>
      <c r="AD73" s="854"/>
    </row>
    <row customHeight="1" ht="18">
      <c r="A74" s="853"/>
      <c r="B74" s="907">
        <v>57</v>
      </c>
      <c r="C74" s="851"/>
      <c r="D74" s="975"/>
      <c r="E74" s="851" t="s">
        <v>2315</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169</v>
      </c>
      <c r="R74" s="965"/>
      <c r="S74" s="965"/>
      <c r="T74" s="851"/>
      <c r="U74" s="851"/>
      <c r="V74" s="851" t="s">
        <v>2321</v>
      </c>
      <c r="W74" s="851"/>
      <c r="X74" s="851"/>
      <c r="Y74" s="1008"/>
      <c r="Z74" s="854"/>
      <c r="AA74" s="857"/>
      <c r="AB74" s="854"/>
      <c r="AC74" s="854"/>
      <c r="AD74" s="854"/>
    </row>
    <row customHeight="1" ht="18">
      <c r="A75" s="853"/>
      <c r="B75" s="907">
        <v>58</v>
      </c>
      <c r="C75" s="851"/>
      <c r="D75" s="975"/>
      <c r="E75" s="851"/>
      <c r="F75" s="851" t="s">
        <v>2300</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2322</v>
      </c>
      <c r="X75" s="851"/>
      <c r="Y75" s="1008"/>
      <c r="Z75" s="854"/>
      <c r="AA75" s="857"/>
      <c r="AB75" s="854"/>
      <c r="AC75" s="854"/>
      <c r="AD75" s="854"/>
    </row>
    <row customHeight="1" ht="36">
      <c r="A76" s="853"/>
      <c r="B76" s="907">
        <v>59</v>
      </c>
      <c r="C76" s="851"/>
      <c r="D76" s="975"/>
      <c r="E76" s="851"/>
      <c r="F76" s="851" t="s">
        <v>2302</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120</v>
      </c>
      <c r="S76" s="965"/>
      <c r="T76" s="851"/>
      <c r="U76" s="851"/>
      <c r="V76" s="851"/>
      <c r="W76" s="851" t="s">
        <v>2323</v>
      </c>
      <c r="X76" s="851"/>
      <c r="Y76" s="1008"/>
      <c r="Z76" s="854"/>
      <c r="AA76" s="857"/>
      <c r="AB76" s="854"/>
      <c r="AC76" s="854"/>
      <c r="AD76" s="854"/>
    </row>
    <row customHeight="1" ht="18">
      <c r="A77" s="853"/>
      <c r="B77" s="907">
        <v>60</v>
      </c>
      <c r="C77" s="851"/>
      <c r="D77" s="975"/>
      <c r="E77" s="851"/>
      <c r="F77" s="851" t="s">
        <v>2304</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167</v>
      </c>
      <c r="S77" s="965"/>
      <c r="T77" s="851"/>
      <c r="U77" s="851"/>
      <c r="V77" s="851"/>
      <c r="W77" s="851" t="s">
        <v>2324</v>
      </c>
      <c r="X77" s="851"/>
      <c r="Y77" s="1008"/>
      <c r="Z77" s="854"/>
      <c r="AA77" s="857"/>
      <c r="AB77" s="854"/>
      <c r="AC77" s="854"/>
      <c r="AD77" s="854"/>
    </row>
    <row customHeight="1" ht="72">
      <c r="A78" s="853"/>
      <c r="B78" s="907">
        <v>61</v>
      </c>
      <c r="C78" s="851" t="s">
        <v>2300</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656</v>
      </c>
      <c r="U78" s="851"/>
      <c r="V78" s="851"/>
      <c r="W78" s="851"/>
      <c r="X78" s="851"/>
      <c r="Y78" s="1008"/>
      <c r="Z78" s="854" t="s">
        <v>2325</v>
      </c>
      <c r="AA78" s="857"/>
      <c r="AB78" s="854"/>
      <c r="AC78" s="854"/>
      <c r="AD78" s="854"/>
    </row>
    <row customHeight="1" ht="36">
      <c r="A79" s="853"/>
      <c r="B79" s="907">
        <v>62</v>
      </c>
      <c r="C79" s="851" t="s">
        <v>2302</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120</v>
      </c>
      <c r="P79" s="965"/>
      <c r="Q79" s="965"/>
      <c r="R79" s="965"/>
      <c r="S79" s="965"/>
      <c r="T79" s="851" t="s">
        <v>2326</v>
      </c>
      <c r="U79" s="851"/>
      <c r="V79" s="851"/>
      <c r="W79" s="851"/>
      <c r="X79" s="851"/>
      <c r="Y79" s="1008"/>
      <c r="Z79" s="854" t="s">
        <v>2327</v>
      </c>
      <c r="AA79" s="857"/>
      <c r="AB79" s="854"/>
      <c r="AC79" s="854"/>
      <c r="AD79" s="854"/>
    </row>
    <row customHeight="1" ht="45">
      <c r="A80" s="853"/>
      <c r="B80" s="907">
        <v>63</v>
      </c>
      <c r="C80" s="851" t="s">
        <v>2304</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167</v>
      </c>
      <c r="P80" s="965"/>
      <c r="Q80" s="965"/>
      <c r="R80" s="965"/>
      <c r="S80" s="965"/>
      <c r="T80" s="851" t="s">
        <v>2328</v>
      </c>
      <c r="U80" s="851"/>
      <c r="V80" s="851"/>
      <c r="W80" s="851"/>
      <c r="X80" s="851"/>
      <c r="Y80" s="1008"/>
      <c r="Z80" s="854" t="s">
        <v>2329</v>
      </c>
      <c r="AA80" s="857"/>
      <c r="AB80" s="854"/>
      <c r="AC80" s="854"/>
      <c r="AD80" s="854"/>
    </row>
    <row customHeight="1" ht="36">
      <c r="A81" s="853"/>
      <c r="B81" s="907">
        <v>64</v>
      </c>
      <c r="C81" s="851" t="s">
        <v>2306</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2215</v>
      </c>
      <c r="P81" s="965"/>
      <c r="Q81" s="965"/>
      <c r="R81" s="965"/>
      <c r="S81" s="965"/>
      <c r="T81" s="851" t="s">
        <v>2330</v>
      </c>
      <c r="U81" s="851"/>
      <c r="V81" s="851"/>
      <c r="W81" s="851"/>
      <c r="X81" s="851"/>
      <c r="Y81" s="1008"/>
      <c r="Z81" s="854" t="s">
        <v>2331</v>
      </c>
      <c r="AA81" s="857"/>
      <c r="AB81" s="854"/>
      <c r="AC81" s="854"/>
      <c r="AD81" s="854"/>
    </row>
    <row customHeight="1" ht="90">
      <c r="A82" s="853"/>
      <c r="B82" s="907">
        <v>65</v>
      </c>
      <c r="C82" s="851" t="s">
        <v>2315</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168</v>
      </c>
      <c r="P82" s="965"/>
      <c r="Q82" s="965"/>
      <c r="R82" s="965"/>
      <c r="S82" s="965"/>
      <c r="T82" s="851" t="s">
        <v>2332</v>
      </c>
      <c r="U82" s="851"/>
      <c r="V82" s="851"/>
      <c r="W82" s="851"/>
      <c r="X82" s="851"/>
      <c r="Y82" s="1008"/>
      <c r="Z82" s="854" t="s">
        <v>2333</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2224</v>
      </c>
      <c r="P83" s="965"/>
      <c r="Q83" s="965"/>
      <c r="R83" s="965"/>
      <c r="S83" s="965"/>
      <c r="T83" s="851" t="s">
        <v>2334</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2335</v>
      </c>
      <c r="P84" s="965"/>
      <c r="Q84" s="965"/>
      <c r="R84" s="965"/>
      <c r="S84" s="965"/>
      <c r="T84" s="851" t="s">
        <v>2336</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2228</v>
      </c>
      <c r="P85" s="965"/>
      <c r="Q85" s="965"/>
      <c r="R85" s="965"/>
      <c r="S85" s="965"/>
      <c r="T85" s="851" t="s">
        <v>2337</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2338</v>
      </c>
      <c r="P86" s="965"/>
      <c r="Q86" s="965"/>
      <c r="R86" s="965"/>
      <c r="S86" s="965"/>
      <c r="T86" s="851" t="s">
        <v>2339</v>
      </c>
      <c r="U86" s="851"/>
      <c r="V86" s="851"/>
      <c r="W86" s="851"/>
      <c r="X86" s="851"/>
      <c r="Y86" s="1008"/>
      <c r="Z86" s="854"/>
      <c r="AA86" s="857"/>
      <c r="AB86" s="854"/>
      <c r="AC86" s="854"/>
      <c r="AD86" s="854"/>
    </row>
    <row customHeight="1" ht="36">
      <c r="A87" s="853"/>
      <c r="B87" s="907">
        <v>70</v>
      </c>
      <c r="C87" s="851" t="s">
        <v>2340</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169</v>
      </c>
      <c r="P87" s="965"/>
      <c r="Q87" s="965"/>
      <c r="R87" s="965"/>
      <c r="S87" s="965"/>
      <c r="T87" s="851" t="s">
        <v>2341</v>
      </c>
      <c r="U87" s="851"/>
      <c r="V87" s="851"/>
      <c r="W87" s="851"/>
      <c r="X87" s="851"/>
      <c r="Y87" s="1008"/>
      <c r="Z87" s="854"/>
      <c r="AA87" s="857"/>
      <c r="AB87" s="854"/>
      <c r="AC87" s="854"/>
      <c r="AD87" s="854"/>
    </row>
    <row customHeight="1" ht="18">
      <c r="A88" s="853"/>
      <c r="B88" s="907">
        <v>71</v>
      </c>
      <c r="C88" s="851" t="s">
        <v>2342</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170</v>
      </c>
      <c r="P88" s="965"/>
      <c r="Q88" s="965"/>
      <c r="R88" s="965"/>
      <c r="S88" s="965"/>
      <c r="T88" s="851" t="s">
        <v>688</v>
      </c>
      <c r="U88" s="851"/>
      <c r="V88" s="851"/>
      <c r="W88" s="851"/>
      <c r="X88" s="851"/>
      <c r="Y88" s="1008"/>
      <c r="Z88" s="854"/>
      <c r="AA88" s="857"/>
      <c r="AB88" s="854"/>
      <c r="AC88" s="854"/>
      <c r="AD88" s="854"/>
    </row>
    <row customHeight="1" ht="18">
      <c r="A89" s="853"/>
      <c r="B89" s="907">
        <v>72</v>
      </c>
      <c r="C89" s="851" t="s">
        <v>2343</v>
      </c>
      <c r="D89" s="975" t="s">
        <v>2340</v>
      </c>
      <c r="E89" s="851" t="s">
        <v>2340</v>
      </c>
      <c r="F89" s="851" t="s">
        <v>2306</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171</v>
      </c>
      <c r="P89" s="965" t="s">
        <v>170</v>
      </c>
      <c r="Q89" s="965" t="s">
        <v>170</v>
      </c>
      <c r="R89" s="965" t="s">
        <v>168</v>
      </c>
      <c r="S89" s="965"/>
      <c r="T89" s="851" t="s">
        <v>696</v>
      </c>
      <c r="U89" s="851" t="s">
        <v>696</v>
      </c>
      <c r="V89" s="851" t="s">
        <v>696</v>
      </c>
      <c r="W89" s="851" t="s">
        <v>696</v>
      </c>
      <c r="X89" s="851"/>
      <c r="Y89" s="1008"/>
      <c r="Z89" s="854"/>
      <c r="AA89" s="857"/>
      <c r="AB89" s="854"/>
      <c r="AC89" s="854"/>
      <c r="AD89" s="854"/>
    </row>
    <row customHeight="1" ht="27">
      <c r="A90" s="853"/>
      <c r="B90" s="907">
        <v>73</v>
      </c>
      <c r="C90" s="851" t="s">
        <v>2344</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172</v>
      </c>
      <c r="P90" s="965"/>
      <c r="Q90" s="965"/>
      <c r="R90" s="965"/>
      <c r="S90" s="965"/>
      <c r="T90" s="851" t="s">
        <v>698</v>
      </c>
      <c r="U90" s="851"/>
      <c r="V90" s="851"/>
      <c r="W90" s="851"/>
      <c r="X90" s="851"/>
      <c r="Y90" s="1008"/>
      <c r="Z90" s="854"/>
      <c r="AA90" s="857"/>
      <c r="AB90" s="854"/>
      <c r="AC90" s="854"/>
      <c r="AD90" s="854"/>
    </row>
    <row customHeight="1" ht="18">
      <c r="A91" s="853"/>
      <c r="B91" s="907">
        <v>74</v>
      </c>
      <c r="C91" s="851"/>
      <c r="D91" s="975" t="s">
        <v>2342</v>
      </c>
      <c r="E91" s="851" t="s">
        <v>2342</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171</v>
      </c>
      <c r="Q91" s="965" t="s">
        <v>171</v>
      </c>
      <c r="R91" s="965"/>
      <c r="S91" s="965"/>
      <c r="T91" s="851"/>
      <c r="U91" s="851" t="s">
        <v>2345</v>
      </c>
      <c r="V91" s="851" t="s">
        <v>2345</v>
      </c>
      <c r="W91" s="851"/>
      <c r="X91" s="851"/>
      <c r="Y91" s="1008"/>
      <c r="Z91" s="854"/>
      <c r="AA91" s="857"/>
      <c r="AB91" s="854"/>
      <c r="AC91" s="854"/>
      <c r="AD91" s="854"/>
    </row>
    <row customHeight="1" ht="27">
      <c r="A92" s="853"/>
      <c r="B92" s="907">
        <v>75</v>
      </c>
      <c r="C92" s="851"/>
      <c r="D92" s="975" t="s">
        <v>2343</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172</v>
      </c>
      <c r="Q92" s="965"/>
      <c r="R92" s="965"/>
      <c r="S92" s="965"/>
      <c r="T92" s="851"/>
      <c r="U92" s="851" t="s">
        <v>2346</v>
      </c>
      <c r="V92" s="851"/>
      <c r="W92" s="851"/>
      <c r="X92" s="851"/>
      <c r="Y92" s="1008"/>
      <c r="Z92" s="854"/>
      <c r="AA92" s="857" t="s">
        <v>2347</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2255</v>
      </c>
      <c r="Q93" s="965"/>
      <c r="R93" s="965"/>
      <c r="S93" s="965"/>
      <c r="T93" s="851"/>
      <c r="U93" s="851" t="s">
        <v>2348</v>
      </c>
      <c r="V93" s="851"/>
      <c r="W93" s="851"/>
      <c r="X93" s="851"/>
      <c r="Y93" s="1008"/>
      <c r="Z93" s="854"/>
      <c r="AA93" s="857" t="s">
        <v>2349</v>
      </c>
      <c r="AB93" s="854"/>
      <c r="AC93" s="854"/>
      <c r="AD93" s="854"/>
    </row>
    <row customHeight="1" ht="45">
      <c r="A94" s="853"/>
      <c r="B94" s="907">
        <v>77</v>
      </c>
      <c r="C94" s="851"/>
      <c r="D94" s="975" t="s">
        <v>2344</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1120</v>
      </c>
      <c r="Q94" s="965"/>
      <c r="R94" s="965"/>
      <c r="S94" s="965"/>
      <c r="T94" s="851"/>
      <c r="U94" s="851" t="s">
        <v>2350</v>
      </c>
      <c r="V94" s="851"/>
      <c r="W94" s="851"/>
      <c r="X94" s="851"/>
      <c r="Y94" s="1008"/>
      <c r="Z94" s="854"/>
      <c r="AA94" s="857" t="s">
        <v>2351</v>
      </c>
      <c r="AB94" s="854"/>
      <c r="AC94" s="854"/>
      <c r="AD94" s="854"/>
    </row>
    <row customHeight="1" ht="99">
      <c r="A95" s="853"/>
      <c r="B95" s="907">
        <v>78</v>
      </c>
      <c r="C95" s="851" t="s">
        <v>2352</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1120</v>
      </c>
      <c r="P95" s="965"/>
      <c r="Q95" s="965"/>
      <c r="R95" s="965"/>
      <c r="S95" s="965"/>
      <c r="T95" s="851" t="s">
        <v>2353</v>
      </c>
      <c r="U95" s="851"/>
      <c r="V95" s="851"/>
      <c r="W95" s="851"/>
      <c r="X95" s="851"/>
      <c r="Y95" s="1008"/>
      <c r="Z95" s="854"/>
      <c r="AA95" s="857"/>
      <c r="AB95" s="854"/>
      <c r="AC95" s="854"/>
      <c r="AD95" s="854"/>
    </row>
    <row customHeight="1" ht="99">
      <c r="A96" s="853"/>
      <c r="B96" s="907">
        <v>79</v>
      </c>
      <c r="C96" s="851" t="s">
        <v>1355</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1124</v>
      </c>
      <c r="P96" s="965"/>
      <c r="Q96" s="965"/>
      <c r="R96" s="965"/>
      <c r="S96" s="965"/>
      <c r="T96" s="851" t="s">
        <v>2354</v>
      </c>
      <c r="U96" s="851"/>
      <c r="V96" s="851"/>
      <c r="W96" s="851"/>
      <c r="X96" s="851"/>
      <c r="Y96" s="1008"/>
      <c r="Z96" s="854" t="s">
        <v>2355</v>
      </c>
      <c r="AA96" s="857"/>
      <c r="AB96" s="854"/>
      <c r="AC96" s="854"/>
      <c r="AD96" s="854"/>
    </row>
    <row customHeight="1" ht="63">
      <c r="A97" s="853"/>
      <c r="B97" s="907">
        <v>80</v>
      </c>
      <c r="C97" s="851" t="s">
        <v>2356</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1128</v>
      </c>
      <c r="P97" s="965"/>
      <c r="Q97" s="965"/>
      <c r="R97" s="965"/>
      <c r="S97" s="965"/>
      <c r="T97" s="851" t="s">
        <v>2357</v>
      </c>
      <c r="U97" s="851"/>
      <c r="V97" s="851"/>
      <c r="W97" s="851"/>
      <c r="X97" s="851"/>
      <c r="Y97" s="1008"/>
      <c r="Z97" s="854" t="s">
        <v>2358</v>
      </c>
      <c r="AA97" s="857"/>
      <c r="AB97" s="854"/>
      <c r="AC97" s="854"/>
      <c r="AD97" s="854"/>
    </row>
    <row customHeight="1" ht="63">
      <c r="A98" s="853"/>
      <c r="B98" s="907">
        <v>81</v>
      </c>
      <c r="C98" s="851" t="s">
        <v>2359</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1130</v>
      </c>
      <c r="P98" s="965"/>
      <c r="Q98" s="965"/>
      <c r="R98" s="965"/>
      <c r="S98" s="965"/>
      <c r="T98" s="851" t="s">
        <v>2360</v>
      </c>
      <c r="U98" s="851"/>
      <c r="V98" s="851"/>
      <c r="W98" s="851"/>
      <c r="X98" s="851"/>
      <c r="Y98" s="1008"/>
      <c r="Z98" s="854" t="s">
        <v>2358</v>
      </c>
      <c r="AA98" s="857"/>
      <c r="AB98" s="854"/>
      <c r="AC98" s="854"/>
      <c r="AD98" s="854"/>
    </row>
    <row customHeight="1" ht="90">
      <c r="A99" s="853"/>
      <c r="B99" s="907">
        <v>82</v>
      </c>
      <c r="C99" s="851" t="s">
        <v>2361</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1133</v>
      </c>
      <c r="P99" s="965"/>
      <c r="Q99" s="965"/>
      <c r="R99" s="965"/>
      <c r="S99" s="965"/>
      <c r="T99" s="851" t="s">
        <v>2362</v>
      </c>
      <c r="U99" s="851"/>
      <c r="V99" s="851"/>
      <c r="W99" s="851"/>
      <c r="X99" s="851"/>
      <c r="Y99" s="1008"/>
      <c r="Z99" s="854" t="s">
        <v>653</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2363</v>
      </c>
      <c r="P100" s="965"/>
      <c r="Q100" s="965"/>
      <c r="R100" s="965"/>
      <c r="S100" s="965"/>
      <c r="T100" s="851" t="s">
        <v>2364</v>
      </c>
      <c r="U100" s="851"/>
      <c r="V100" s="851"/>
      <c r="W100" s="851"/>
      <c r="X100" s="851"/>
      <c r="Y100" s="1008"/>
      <c r="Z100" s="854" t="s">
        <v>653</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2365</v>
      </c>
      <c r="P101" s="965"/>
      <c r="Q101" s="965"/>
      <c r="R101" s="965"/>
      <c r="S101" s="965"/>
      <c r="T101" s="851" t="s">
        <v>2366</v>
      </c>
      <c r="U101" s="851"/>
      <c r="V101" s="851"/>
      <c r="W101" s="851"/>
      <c r="X101" s="851"/>
      <c r="Y101" s="1008"/>
      <c r="Z101" s="854" t="s">
        <v>653</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1824</v>
      </c>
      <c r="B148" s="853"/>
      <c r="C148" s="851" t="s">
        <v>2367</v>
      </c>
      <c r="D148" s="851" t="s">
        <v>1148</v>
      </c>
      <c r="E148" s="851" t="s">
        <v>1191</v>
      </c>
      <c r="F148" s="851" t="s">
        <v>2368</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2369</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2370</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1827</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1829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1833</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F08F5-19C5-D4EB-FFF2-0D3935E92E0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3" width="12.28125" hidden="1" customWidth="1"/>
    <col min="9" max="9" style="2418" width="3.00390625" customWidth="1"/>
    <col min="10" max="11" style="352" width="3.00390625" customWidth="1"/>
    <col min="12" max="12" style="2428"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24" t="s">
        <v>2371</v>
      </c>
      <c r="M5" s="2624"/>
      <c r="N5" s="2624"/>
      <c r="O5" s="2624"/>
      <c r="P5" s="2624"/>
      <c r="Q5" s="2624"/>
      <c r="R5" s="2624"/>
      <c r="S5" s="2624"/>
      <c r="T5" s="2624"/>
      <c r="U5" s="2624"/>
      <c r="V5" s="1251"/>
      <c r="AD5" s="1163">
        <v>64</v>
      </c>
    </row>
    <row customHeight="1" ht="14.699999999999998">
      <c r="J6" s="384"/>
      <c r="K6" s="384"/>
      <c r="L6" s="2625" t="str">
        <f>IF(org=0,"Не определено",org)</f>
        <v>АО "ДГК"</v>
      </c>
      <c r="M6" s="2625"/>
      <c r="N6" s="2625"/>
      <c r="O6" s="2625"/>
      <c r="P6" s="2625"/>
      <c r="Q6" s="2625"/>
      <c r="R6" s="2625"/>
      <c r="S6" s="2625"/>
      <c r="T6" s="2625"/>
      <c r="U6" s="2625"/>
      <c r="V6" s="1251"/>
      <c r="AD6" s="1163">
        <v>14</v>
      </c>
    </row>
    <row customHeight="1" ht="14.699999999999998">
      <c r="J7" s="384"/>
      <c r="K7" s="384"/>
      <c r="L7" s="1283"/>
      <c r="M7" s="371"/>
      <c r="N7" s="371"/>
      <c r="O7" s="330"/>
      <c r="P7" s="330"/>
      <c r="Q7" s="330"/>
      <c r="R7" s="330"/>
      <c r="S7" s="330"/>
      <c r="T7" s="330"/>
      <c r="U7" s="330"/>
      <c r="V7" s="330"/>
      <c r="W7" s="517"/>
      <c r="AD7" s="1163">
        <v>14</v>
      </c>
    </row>
    <row s="1858" customFormat="1" customHeight="1" ht="48.29999999999999">
      <c r="A8" s="1376"/>
      <c r="B8" s="1376"/>
      <c r="C8" s="1376"/>
      <c r="D8" s="1376"/>
      <c r="E8" s="1376"/>
      <c r="F8" s="1376"/>
      <c r="G8" s="1376"/>
      <c r="H8" s="1376"/>
      <c r="L8" s="1284"/>
      <c r="M8" s="303" t="s">
        <v>41</v>
      </c>
      <c r="N8" s="312"/>
      <c r="O8" s="2272" t="str">
        <f>IF(TITLE_NAME_OR_PR_CHANGE="",IF(TITLE_NAME_OR_PR="","",TITLE_NAME_OR_PR),TITLE_NAME_OR_PR_CHANGE)</f>
        <v/>
      </c>
      <c r="P8" s="2272"/>
      <c r="Q8" s="2272"/>
      <c r="R8" s="2272"/>
      <c r="S8" s="2272"/>
      <c r="T8" s="2272"/>
      <c r="U8" s="2272"/>
      <c r="V8" s="334"/>
      <c r="W8" s="334"/>
      <c r="X8" s="288"/>
      <c r="Y8" s="376"/>
      <c r="Z8" s="376"/>
      <c r="AA8" s="376"/>
      <c r="AB8" s="376"/>
      <c r="AC8" s="376"/>
      <c r="AD8" s="426">
        <v>46</v>
      </c>
    </row>
    <row s="1858" customFormat="1" customHeight="1" ht="24">
      <c r="A9" s="1376"/>
      <c r="B9" s="1376"/>
      <c r="C9" s="1376"/>
      <c r="D9" s="1376"/>
      <c r="E9" s="1376"/>
      <c r="F9" s="1376"/>
      <c r="G9" s="1376"/>
      <c r="H9" s="1376"/>
      <c r="L9" s="1284"/>
      <c r="M9" s="303" t="s">
        <v>440</v>
      </c>
      <c r="N9" s="312"/>
      <c r="O9" s="2272" t="str">
        <f>IF(TITLE_DATE_CHANGE_PERIOD="",IF(TITLE_DATE_PR="","",TITLE_DATE_PR),TITLE_DATE_CHANGE_PERIOD)</f>
        <v/>
      </c>
      <c r="P9" s="2272"/>
      <c r="Q9" s="2272"/>
      <c r="R9" s="2272"/>
      <c r="S9" s="2272"/>
      <c r="T9" s="2272"/>
      <c r="U9" s="2272"/>
      <c r="V9" s="334"/>
      <c r="W9" s="334"/>
      <c r="X9" s="288"/>
      <c r="Y9" s="376"/>
      <c r="Z9" s="376"/>
      <c r="AA9" s="376"/>
      <c r="AB9" s="376"/>
      <c r="AC9" s="376"/>
      <c r="AD9" s="426">
        <v>23</v>
      </c>
    </row>
    <row s="1858" customFormat="1" customHeight="1" ht="24">
      <c r="A10" s="1376"/>
      <c r="B10" s="1376"/>
      <c r="C10" s="1376"/>
      <c r="D10" s="1376"/>
      <c r="E10" s="1376"/>
      <c r="F10" s="1376"/>
      <c r="G10" s="1376"/>
      <c r="H10" s="1376"/>
      <c r="L10" s="1258"/>
      <c r="M10" s="303" t="s">
        <v>441</v>
      </c>
      <c r="N10" s="312"/>
      <c r="O10" s="2272" t="str">
        <f>IF(TITLE_NUMBER_PR_CHANGE="",IF(TITLE_NUMBER_PR="","",TITLE_NUMBER_PR),TITLE_NUMBER_PR_CHANGE)</f>
        <v/>
      </c>
      <c r="P10" s="2272"/>
      <c r="Q10" s="2272"/>
      <c r="R10" s="2272"/>
      <c r="S10" s="2272"/>
      <c r="T10" s="2272"/>
      <c r="U10" s="2272"/>
      <c r="V10" s="334"/>
      <c r="W10" s="334"/>
      <c r="X10" s="288"/>
      <c r="Y10" s="376"/>
      <c r="Z10" s="376"/>
      <c r="AA10" s="376"/>
      <c r="AB10" s="376"/>
      <c r="AC10" s="376"/>
      <c r="AD10" s="426">
        <v>23</v>
      </c>
    </row>
    <row s="1858" customFormat="1" customHeight="1" ht="24">
      <c r="A11" s="1376"/>
      <c r="B11" s="1376"/>
      <c r="C11" s="1376"/>
      <c r="D11" s="1376"/>
      <c r="E11" s="1376"/>
      <c r="F11" s="1376"/>
      <c r="G11" s="1376"/>
      <c r="H11" s="1376"/>
      <c r="L11" s="1258"/>
      <c r="M11" s="303" t="s">
        <v>42</v>
      </c>
      <c r="N11" s="312"/>
      <c r="O11" s="2272" t="str">
        <f>IF(TITLE_IST_PUB_CHANGE="",IF(TITLE_IST_PUB="","",TITLE_IST_PUB),TITLE_IST_PUB_CHANGE)</f>
        <v/>
      </c>
      <c r="P11" s="2272"/>
      <c r="Q11" s="2272"/>
      <c r="R11" s="2272"/>
      <c r="S11" s="2272"/>
      <c r="T11" s="2272"/>
      <c r="U11" s="2272"/>
      <c r="V11" s="334"/>
      <c r="W11" s="334"/>
      <c r="X11" s="288"/>
      <c r="Y11" s="376"/>
      <c r="Z11" s="376"/>
      <c r="AA11" s="376"/>
      <c r="AB11" s="376"/>
      <c r="AC11" s="376"/>
      <c r="AD11" s="426">
        <v>23</v>
      </c>
    </row>
    <row s="1858" customFormat="1" customHeight="1" ht="11.25" hidden="1">
      <c r="A12" s="1376"/>
      <c r="B12" s="1376"/>
      <c r="C12" s="1376"/>
      <c r="D12" s="1376"/>
      <c r="E12" s="1376"/>
      <c r="F12" s="1376"/>
      <c r="G12" s="1376"/>
      <c r="H12" s="1376"/>
      <c r="L12" s="2626"/>
      <c r="M12" s="2626"/>
      <c r="N12" s="1295"/>
      <c r="O12" s="334"/>
      <c r="P12" s="334"/>
      <c r="Q12" s="334"/>
      <c r="R12" s="334"/>
      <c r="S12" s="334"/>
      <c r="T12" s="334"/>
      <c r="U12" s="334"/>
      <c r="V12" s="286" t="s">
        <v>444</v>
      </c>
      <c r="Y12" s="376"/>
      <c r="Z12" s="376"/>
      <c r="AA12" s="376"/>
      <c r="AB12" s="376"/>
      <c r="AC12" s="376"/>
      <c r="AD12" s="426">
        <v>0</v>
      </c>
    </row>
    <row customHeight="1" ht="14.699999999999998">
      <c r="J13" s="384"/>
      <c r="K13" s="384"/>
      <c r="L13" s="1283"/>
      <c r="M13" s="371"/>
      <c r="N13" s="1252"/>
      <c r="O13" s="2273"/>
      <c r="P13" s="2273"/>
      <c r="Q13" s="2273"/>
      <c r="R13" s="2273"/>
      <c r="S13" s="2273"/>
      <c r="T13" s="2273"/>
      <c r="U13" s="2273"/>
      <c r="V13" s="2273"/>
      <c r="AD13" s="1163">
        <v>14</v>
      </c>
    </row>
    <row customHeight="1" ht="14.699999999999998">
      <c r="J14" s="384"/>
      <c r="K14" s="384"/>
      <c r="L14" s="2148" t="s">
        <v>317</v>
      </c>
      <c r="M14" s="2148"/>
      <c r="N14" s="2148"/>
      <c r="O14" s="2148"/>
      <c r="P14" s="2148"/>
      <c r="Q14" s="2148"/>
      <c r="R14" s="2148"/>
      <c r="S14" s="2148"/>
      <c r="T14" s="2148"/>
      <c r="U14" s="2148"/>
      <c r="V14" s="2148"/>
      <c r="W14" s="2148"/>
      <c r="X14" s="2148" t="s">
        <v>318</v>
      </c>
      <c r="AD14" s="1163">
        <v>14</v>
      </c>
    </row>
    <row customHeight="1" ht="14.699999999999998">
      <c r="J15" s="384"/>
      <c r="K15" s="384"/>
      <c r="L15" s="2294" t="s">
        <v>88</v>
      </c>
      <c r="M15" s="2230" t="s">
        <v>445</v>
      </c>
      <c r="N15" s="309"/>
      <c r="O15" s="2295" t="s">
        <v>2372</v>
      </c>
      <c r="P15" s="2296"/>
      <c r="Q15" s="2296"/>
      <c r="R15" s="2296"/>
      <c r="S15" s="2296"/>
      <c r="T15" s="2296"/>
      <c r="U15" s="2297"/>
      <c r="V15" s="2298" t="s">
        <v>447</v>
      </c>
      <c r="W15" s="2301" t="s">
        <v>1352</v>
      </c>
      <c r="X15" s="2148"/>
      <c r="AD15" s="1163">
        <v>14</v>
      </c>
    </row>
    <row customHeight="1" ht="35.699999999999996">
      <c r="J16" s="384"/>
      <c r="K16" s="384"/>
      <c r="L16" s="2294"/>
      <c r="M16" s="2230"/>
      <c r="N16" s="1039"/>
      <c r="O16" s="2281" t="s">
        <v>450</v>
      </c>
      <c r="P16" s="2281" t="s">
        <v>451</v>
      </c>
      <c r="Q16" s="2283" t="s">
        <v>452</v>
      </c>
      <c r="R16" s="2284"/>
      <c r="S16" s="2283" t="s">
        <v>466</v>
      </c>
      <c r="T16" s="2290"/>
      <c r="U16" s="2284"/>
      <c r="V16" s="2299"/>
      <c r="W16" s="2302"/>
      <c r="X16" s="2148"/>
      <c r="AD16" s="1163">
        <v>34</v>
      </c>
    </row>
    <row customHeight="1" ht="35.699999999999996">
      <c r="A17" s="1378" t="s">
        <v>153</v>
      </c>
      <c r="B17" s="1378" t="s">
        <v>154</v>
      </c>
      <c r="C17" s="1378" t="s">
        <v>155</v>
      </c>
      <c r="D17" s="1378" t="s">
        <v>156</v>
      </c>
      <c r="E17" s="1378"/>
      <c r="J17" s="384"/>
      <c r="K17" s="384"/>
      <c r="L17" s="2294"/>
      <c r="M17" s="2230"/>
      <c r="N17" s="310"/>
      <c r="O17" s="2282"/>
      <c r="P17" s="2282"/>
      <c r="Q17" s="1230" t="s">
        <v>461</v>
      </c>
      <c r="R17" s="1230" t="s">
        <v>462</v>
      </c>
      <c r="S17" s="1300" t="s">
        <v>463</v>
      </c>
      <c r="T17" s="2291" t="s">
        <v>464</v>
      </c>
      <c r="U17" s="2292"/>
      <c r="V17" s="2300"/>
      <c r="W17" s="2303"/>
      <c r="X17" s="2148"/>
      <c r="AD17" s="1163">
        <v>34</v>
      </c>
    </row>
    <row s="1649" customFormat="1" customHeight="1" ht="11.549999999999999">
      <c r="A18" s="1378"/>
      <c r="B18" s="1378"/>
      <c r="C18" s="1378"/>
      <c r="D18" s="1378"/>
      <c r="E18" s="1378"/>
      <c r="F18" s="1370"/>
      <c r="G18" s="1370"/>
      <c r="H18" s="1370"/>
      <c r="I18" s="1254"/>
      <c r="J18" s="1255"/>
      <c r="K18" s="1262">
        <v>1</v>
      </c>
      <c r="L18" s="1285" t="s">
        <v>118</v>
      </c>
      <c r="M18" s="1263" t="s">
        <v>102</v>
      </c>
      <c r="N18" s="1253" t="str">
        <f>OFFSET(N18,0,-1)</f>
        <v>2</v>
      </c>
      <c r="O18" s="1297">
        <f>OFFSET(O18,0,-1)+1</f>
        <v>3</v>
      </c>
      <c r="P18" s="1297"/>
      <c r="Q18" s="1297">
        <f>OFFSET(Q18,0,-1)+1</f>
        <v>1</v>
      </c>
      <c r="R18" s="1297">
        <f>OFFSET(R18,0,-1)+1</f>
        <v>2</v>
      </c>
      <c r="S18" s="1297">
        <f>OFFSET(S18,0,-1)+1</f>
        <v>3</v>
      </c>
      <c r="T18" s="2293">
        <f>OFFSET(T18,0,-1)+1</f>
        <v>4</v>
      </c>
      <c r="U18" s="2293"/>
      <c r="V18" s="1297">
        <f>OFFSET(V18,0,-2)+1</f>
        <v>5</v>
      </c>
      <c r="W18" s="1253">
        <f>OFFSET(W18,0,-1)</f>
        <v>5</v>
      </c>
      <c r="X18" s="1297">
        <f>OFFSET(X18,0,-1)+1</f>
        <v>6</v>
      </c>
      <c r="Y18" s="519"/>
      <c r="Z18" s="519"/>
      <c r="AA18" s="519"/>
      <c r="AB18" s="519"/>
      <c r="AC18" s="519"/>
      <c r="AD18" s="504">
        <v>11</v>
      </c>
    </row>
    <row customHeight="1" ht="21">
      <c r="A19" s="1371" t="s">
        <v>187</v>
      </c>
      <c r="B19" s="1371" t="s">
        <v>188</v>
      </c>
      <c r="C19" s="1371" t="s">
        <v>189</v>
      </c>
      <c r="D19" s="1371" t="s">
        <v>190</v>
      </c>
      <c r="E19" s="1371"/>
      <c r="F19" s="1373"/>
      <c r="G19" s="1373"/>
      <c r="H19" s="1373"/>
      <c r="I19" s="369"/>
      <c r="J19" s="368"/>
      <c r="K19" s="363"/>
      <c r="L19" s="1301">
        <f>INDEX(PT_DIFFERENTIATION_NUM_NTAR,MATCH(A19,PT_DIFFERENTIATION_NTAR_ID,0))</f>
        <v>0</v>
      </c>
      <c r="M19" s="306" t="s">
        <v>142</v>
      </c>
      <c r="N19" s="308"/>
      <c r="O19" s="2627" t="str">
        <f>INDEX(PT_DIFFERENTIATION_NTAR,MATCH(A19,PT_DIFFERENTIATION_NTAR_ID,0))</f>
        <v/>
      </c>
      <c r="P19" s="2627"/>
      <c r="Q19" s="2627"/>
      <c r="R19" s="2627"/>
      <c r="S19" s="2627"/>
      <c r="T19" s="2627"/>
      <c r="U19" s="2627"/>
      <c r="V19" s="2627"/>
      <c r="W19" s="2627"/>
      <c r="X19" s="1266" t="s">
        <v>413</v>
      </c>
      <c r="Z19" s="508"/>
      <c r="AA19" s="508" t="str">
        <f>IF(M19="","",M19)</f>
        <v>Наименование тарифа</v>
      </c>
      <c r="AB19" s="508"/>
      <c r="AC19" s="508"/>
      <c r="AD19" s="1163">
        <v>20</v>
      </c>
    </row>
    <row customHeight="1" ht="21">
      <c r="A20" s="1371" t="s">
        <v>187</v>
      </c>
      <c r="B20" s="1371" t="s">
        <v>188</v>
      </c>
      <c r="C20" s="1371" t="s">
        <v>189</v>
      </c>
      <c r="D20" s="1371" t="s">
        <v>190</v>
      </c>
      <c r="E20" s="1371"/>
      <c r="F20" s="1373"/>
      <c r="G20" s="1373"/>
      <c r="H20" s="1373"/>
      <c r="I20" s="1298"/>
      <c r="J20" s="360"/>
      <c r="K20" s="361"/>
      <c r="L20" s="1301" t="str">
        <f>INDEX(PT_DIFFERENTIATION_NUM_TER,MATCH(B19,PT_DIFFERENTIATION_TER_ID,0))</f>
        <v>.</v>
      </c>
      <c r="M20" s="316" t="s">
        <v>414</v>
      </c>
      <c r="N20" s="308"/>
      <c r="O20" s="2627" t="str">
        <f>INDEX(PT_DIFFERENTIATION_TER,MATCH(B19,PT_DIFFERENTIATION_TER_ID,0))</f>
        <v/>
      </c>
      <c r="P20" s="2627"/>
      <c r="Q20" s="2627"/>
      <c r="R20" s="2627"/>
      <c r="S20" s="2627"/>
      <c r="T20" s="2627"/>
      <c r="U20" s="2627"/>
      <c r="V20" s="2627"/>
      <c r="W20" s="2627"/>
      <c r="X20" s="1266" t="s">
        <v>415</v>
      </c>
      <c r="Z20" s="508"/>
      <c r="AA20" s="508" t="str">
        <f>IF(M20="","",M20)</f>
        <v>Территория действия тарифа</v>
      </c>
      <c r="AB20" s="508"/>
      <c r="AC20" s="508"/>
      <c r="AD20" s="1163">
        <v>20</v>
      </c>
    </row>
    <row customHeight="1" ht="24">
      <c r="A21" s="1371" t="s">
        <v>187</v>
      </c>
      <c r="B21" s="1371" t="s">
        <v>188</v>
      </c>
      <c r="C21" s="1371" t="s">
        <v>189</v>
      </c>
      <c r="D21" s="1371" t="s">
        <v>190</v>
      </c>
      <c r="E21" s="1371"/>
      <c r="F21" s="1373"/>
      <c r="G21" s="1373"/>
      <c r="H21" s="1373"/>
      <c r="I21" s="362"/>
      <c r="J21" s="360"/>
      <c r="K21" s="361"/>
      <c r="L21" s="1301" t="str">
        <f>INDEX(PT_DIFFERENTIATION_NUM_CS,MATCH(C19,PT_DIFFERENTIATION_CS_ID,0))</f>
        <v>..</v>
      </c>
      <c r="M21" s="317" t="s">
        <v>416</v>
      </c>
      <c r="N21" s="308"/>
      <c r="O21" s="2627" t="str">
        <f>INDEX(PT_DIFFERENTIATION_CS,MATCH(C19,PT_DIFFERENTIATION_CS_ID,0))</f>
        <v/>
      </c>
      <c r="P21" s="2627"/>
      <c r="Q21" s="2627"/>
      <c r="R21" s="2627"/>
      <c r="S21" s="2627"/>
      <c r="T21" s="2627"/>
      <c r="U21" s="2627"/>
      <c r="V21" s="2627"/>
      <c r="W21" s="2627"/>
      <c r="X21" s="1266" t="s">
        <v>417</v>
      </c>
      <c r="Z21" s="508"/>
      <c r="AA21" s="508" t="str">
        <f>IF(M21="","",M21)</f>
        <v>Наименование системы теплоснабжения </v>
      </c>
      <c r="AB21" s="508"/>
      <c r="AC21" s="508"/>
      <c r="AD21" s="1163">
        <v>23</v>
      </c>
    </row>
    <row customHeight="1" ht="21">
      <c r="A22" s="1371" t="s">
        <v>187</v>
      </c>
      <c r="B22" s="1371" t="s">
        <v>188</v>
      </c>
      <c r="C22" s="1371" t="s">
        <v>189</v>
      </c>
      <c r="D22" s="1371" t="s">
        <v>190</v>
      </c>
      <c r="E22" s="1371"/>
      <c r="F22" s="1373"/>
      <c r="G22" s="1373"/>
      <c r="H22" s="1373"/>
      <c r="I22" s="362"/>
      <c r="J22" s="360"/>
      <c r="K22" s="361"/>
      <c r="L22" s="1301" t="str">
        <f>INDEX(PT_DIFFERENTIATION_NUM_IST_TE,MATCH(D19,PT_DIFFERENTIATION_IST_TE_ID,0))</f>
        <v>...</v>
      </c>
      <c r="M22" s="318" t="s">
        <v>418</v>
      </c>
      <c r="N22" s="308"/>
      <c r="O22" s="2627" t="str">
        <f>INDEX(PT_DIFFERENTIATION_IST_TE,MATCH(D19,PT_DIFFERENTIATION_IST_TE_ID,0))</f>
        <v/>
      </c>
      <c r="P22" s="2627"/>
      <c r="Q22" s="2627"/>
      <c r="R22" s="2627"/>
      <c r="S22" s="2627"/>
      <c r="T22" s="2627"/>
      <c r="U22" s="2627"/>
      <c r="V22" s="2627"/>
      <c r="W22" s="2627"/>
      <c r="X22" s="1266" t="s">
        <v>419</v>
      </c>
      <c r="Z22" s="508"/>
      <c r="AA22" s="508" t="str">
        <f>IF(M22="","",M22)</f>
        <v>Источник тепловой энергии  </v>
      </c>
      <c r="AB22" s="508"/>
      <c r="AC22" s="508"/>
      <c r="AD22" s="1163">
        <v>20</v>
      </c>
    </row>
    <row customHeight="1" ht="96.75">
      <c r="A23" s="1371" t="s">
        <v>187</v>
      </c>
      <c r="B23" s="1371" t="s">
        <v>188</v>
      </c>
      <c r="C23" s="1371" t="s">
        <v>189</v>
      </c>
      <c r="D23" s="1371" t="s">
        <v>190</v>
      </c>
      <c r="E23" s="1371"/>
      <c r="F23" s="2628" t="str">
        <f>L22&amp;".1"</f>
        <v>....1</v>
      </c>
      <c r="I23" s="2278">
        <v>1</v>
      </c>
      <c r="J23" s="1299"/>
      <c r="K23" s="364"/>
      <c r="L23" s="1301" t="str">
        <f>$F$23</f>
        <v>....1</v>
      </c>
      <c r="M23" s="293" t="s">
        <v>421</v>
      </c>
      <c r="N23" s="308"/>
      <c r="O23" s="2326"/>
      <c r="P23" s="2326"/>
      <c r="Q23" s="2326"/>
      <c r="R23" s="2326"/>
      <c r="S23" s="2326"/>
      <c r="T23" s="2326"/>
      <c r="U23" s="2326"/>
      <c r="V23" s="2326"/>
      <c r="W23" s="2326"/>
      <c r="X23" s="1266" t="s">
        <v>422</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187</v>
      </c>
      <c r="B24" s="1371" t="s">
        <v>188</v>
      </c>
      <c r="C24" s="1371" t="s">
        <v>189</v>
      </c>
      <c r="D24" s="1371" t="s">
        <v>190</v>
      </c>
      <c r="E24" s="1371"/>
      <c r="F24" s="2628"/>
      <c r="G24" s="2238" t="str">
        <f>F23&amp;".1"</f>
        <v>....1.1</v>
      </c>
      <c r="I24" s="2278"/>
      <c r="J24" s="2278">
        <v>1</v>
      </c>
      <c r="K24" s="365"/>
      <c r="L24" s="1301" t="str">
        <f>$G$24</f>
        <v>....1.1</v>
      </c>
      <c r="M24" s="294" t="s">
        <v>424</v>
      </c>
      <c r="N24" s="308"/>
      <c r="O24" s="2266"/>
      <c r="P24" s="2267"/>
      <c r="Q24" s="2267"/>
      <c r="R24" s="2267"/>
      <c r="S24" s="2267"/>
      <c r="T24" s="2267"/>
      <c r="U24" s="2267"/>
      <c r="V24" s="2267"/>
      <c r="W24" s="2268"/>
      <c r="X24" s="1266" t="s">
        <v>425</v>
      </c>
      <c r="Z24" s="508"/>
      <c r="AA24" s="508" t="str">
        <f>IF(M24="","",M24)</f>
        <v>Группа потребителей</v>
      </c>
      <c r="AB24" s="508"/>
      <c r="AC24" s="508"/>
      <c r="AD24" s="1163">
        <v>82</v>
      </c>
    </row>
    <row customHeight="1" ht="11.549999999999999">
      <c r="A25" s="1371" t="s">
        <v>187</v>
      </c>
      <c r="B25" s="1371" t="s">
        <v>188</v>
      </c>
      <c r="C25" s="1371" t="s">
        <v>189</v>
      </c>
      <c r="D25" s="1371" t="s">
        <v>190</v>
      </c>
      <c r="E25" s="1371"/>
      <c r="F25" s="2628"/>
      <c r="G25" s="2238"/>
      <c r="H25" s="2238" t="str">
        <f>G24&amp;".1"</f>
        <v>....1.1.1</v>
      </c>
      <c r="I25" s="2278"/>
      <c r="J25" s="2278"/>
      <c r="K25" s="365">
        <v>1</v>
      </c>
      <c r="L25" s="1301" t="str">
        <f>$H$25</f>
        <v>....1.1.1</v>
      </c>
      <c r="M25" s="1355"/>
      <c r="N25" s="308"/>
      <c r="O25" s="759"/>
      <c r="P25" s="333"/>
      <c r="Q25" s="759"/>
      <c r="R25" s="1265"/>
      <c r="S25" s="2623"/>
      <c r="T25" s="2128" t="s">
        <v>61</v>
      </c>
      <c r="U25" s="2623"/>
      <c r="V25" s="2128" t="s">
        <v>19</v>
      </c>
      <c r="W25" s="333"/>
      <c r="X25" s="2274" t="s">
        <v>427</v>
      </c>
      <c r="Y25" s="519">
        <f>STRCHECKDATE(O26:W26)</f>
      </c>
      <c r="Z25" s="508"/>
      <c r="AA25" s="508" t="str">
        <f>IF(M25="","",M25)</f>
        <v/>
      </c>
      <c r="AB25" s="508"/>
      <c r="AC25" s="508"/>
      <c r="AD25" s="1163">
        <v>11</v>
      </c>
    </row>
    <row customHeight="1" ht="11.549999999999999">
      <c r="A26" s="1371" t="s">
        <v>187</v>
      </c>
      <c r="B26" s="1371" t="s">
        <v>188</v>
      </c>
      <c r="C26" s="1371" t="s">
        <v>189</v>
      </c>
      <c r="D26" s="1371" t="s">
        <v>190</v>
      </c>
      <c r="E26" s="1371"/>
      <c r="F26" s="2628"/>
      <c r="G26" s="2238"/>
      <c r="H26" s="2238"/>
      <c r="I26" s="2278"/>
      <c r="J26" s="2278"/>
      <c r="K26" s="365"/>
      <c r="L26" s="1302"/>
      <c r="M26" s="308"/>
      <c r="N26" s="308"/>
      <c r="O26" s="333"/>
      <c r="P26" s="333"/>
      <c r="Q26" s="333"/>
      <c r="R26" s="336" t="str">
        <f>S25&amp;"-"&amp;U25</f>
        <v>-</v>
      </c>
      <c r="S26" s="2287"/>
      <c r="T26" s="2128"/>
      <c r="U26" s="2287"/>
      <c r="V26" s="2128"/>
      <c r="W26" s="333"/>
      <c r="X26" s="2275"/>
      <c r="Z26" s="508"/>
      <c r="AA26" s="508" t="str">
        <f>IF(M26="","",M26)</f>
        <v/>
      </c>
      <c r="AB26" s="508"/>
      <c r="AC26" s="508"/>
      <c r="AD26" s="1163">
        <v>11</v>
      </c>
    </row>
    <row customHeight="1" ht="15.75">
      <c r="A27" s="1371" t="s">
        <v>187</v>
      </c>
      <c r="B27" s="1371" t="s">
        <v>188</v>
      </c>
      <c r="C27" s="1371" t="s">
        <v>189</v>
      </c>
      <c r="D27" s="1371" t="s">
        <v>190</v>
      </c>
      <c r="E27" s="1371"/>
      <c r="F27" s="2628"/>
      <c r="G27" s="2238"/>
      <c r="I27" s="2278"/>
      <c r="J27" s="2278"/>
      <c r="K27" s="364"/>
      <c r="L27" s="1286"/>
      <c r="M27" s="296" t="s">
        <v>428</v>
      </c>
      <c r="N27" s="375"/>
      <c r="O27" s="375"/>
      <c r="P27" s="375"/>
      <c r="Q27" s="375"/>
      <c r="R27" s="375"/>
      <c r="S27" s="375"/>
      <c r="T27" s="375"/>
      <c r="U27" s="375"/>
      <c r="V27" s="375"/>
      <c r="W27" s="332"/>
      <c r="X27" s="2276"/>
      <c r="Z27" s="508"/>
      <c r="AA27" s="508" t="str">
        <f>IF(M27="","",M27)</f>
        <v>Добавить вид теплоносителя (параметры теплоносителя)</v>
      </c>
      <c r="AB27" s="508"/>
      <c r="AC27" s="508"/>
      <c r="AD27" s="1163">
        <v>15</v>
      </c>
    </row>
    <row customHeight="1" ht="15.75">
      <c r="A28" s="1371" t="s">
        <v>187</v>
      </c>
      <c r="B28" s="1371" t="s">
        <v>188</v>
      </c>
      <c r="C28" s="1371" t="s">
        <v>189</v>
      </c>
      <c r="D28" s="1371" t="s">
        <v>190</v>
      </c>
      <c r="E28" s="1371"/>
      <c r="F28" s="2628"/>
      <c r="I28" s="2278"/>
      <c r="J28" s="1299"/>
      <c r="K28" s="364"/>
      <c r="L28" s="1286"/>
      <c r="M28" s="295" t="s">
        <v>429</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187</v>
      </c>
      <c r="B29" s="1371" t="s">
        <v>188</v>
      </c>
      <c r="C29" s="1371" t="s">
        <v>189</v>
      </c>
      <c r="D29" s="1371" t="s">
        <v>190</v>
      </c>
      <c r="E29" s="1371"/>
      <c r="F29" s="1373"/>
      <c r="G29" s="1373"/>
      <c r="H29" s="545"/>
      <c r="I29" s="368"/>
      <c r="J29" s="383"/>
      <c r="K29" s="363"/>
      <c r="L29" s="1286"/>
      <c r="M29" s="373" t="s">
        <v>430</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187</v>
      </c>
      <c r="B30" s="1371" t="s">
        <v>188</v>
      </c>
      <c r="C30" s="1371" t="s">
        <v>189</v>
      </c>
      <c r="D30" s="1371"/>
      <c r="E30" s="1371" t="s">
        <v>604</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187</v>
      </c>
      <c r="B31" s="1371" t="s">
        <v>188</v>
      </c>
      <c r="C31" s="1371"/>
      <c r="D31" s="1371"/>
      <c r="E31" s="1371" t="s">
        <v>2373</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2374</v>
      </c>
      <c r="B32" s="1371"/>
      <c r="C32" s="1371"/>
      <c r="D32" s="1371"/>
      <c r="E32" s="1371" t="s">
        <v>113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5" customFormat="1" customHeight="1" ht="11.549999999999999">
      <c r="A33" s="1371"/>
      <c r="B33" s="1371"/>
      <c r="C33" s="1371"/>
      <c r="D33" s="1371"/>
      <c r="E33" s="1371" t="s">
        <v>465</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848</v>
      </c>
      <c r="M35" s="2306" t="s">
        <v>2375</v>
      </c>
      <c r="N35" s="2306"/>
      <c r="O35" s="2306"/>
      <c r="P35" s="2306"/>
      <c r="Q35" s="2306"/>
      <c r="R35" s="2306"/>
      <c r="S35" s="2306"/>
      <c r="T35" s="2306"/>
      <c r="U35" s="2306"/>
      <c r="V35" s="2306"/>
      <c r="W35" s="2306"/>
      <c r="X35" s="2306"/>
      <c r="AD35" s="1163">
        <v>27</v>
      </c>
    </row>
    <row customHeight="1" ht="109.19999999999999">
      <c r="H36" s="545"/>
      <c r="I36" s="1311"/>
      <c r="M36" s="2306" t="s">
        <v>2376</v>
      </c>
      <c r="N36" s="2306"/>
      <c r="O36" s="2306"/>
      <c r="P36" s="2306"/>
      <c r="Q36" s="2306"/>
      <c r="R36" s="2306"/>
      <c r="S36" s="2306"/>
      <c r="T36" s="2306"/>
      <c r="U36" s="2306"/>
      <c r="V36" s="2306"/>
      <c r="W36" s="2306"/>
      <c r="X36" s="2306"/>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A2A9-38D7-D382-6D4F-1782988E53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64B4C-55C4-2774-6E2D-989A24C481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FE913-0627-3875-6E5A-599ED47876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161A5-59BB-5643-4587-7A2AAE9663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8A1A7-FEC5-F6EF-53CF-0AD2115CA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92468-B7BB-CAE6-4CA5-BFAF2975A77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3"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3" t="s">
        <v>316</v>
      </c>
      <c r="J1" s="463" t="s">
        <v>14</v>
      </c>
    </row>
    <row customHeight="1" ht="11.25" hidden="1">
      <c r="J2" s="463">
        <v>0</v>
      </c>
    </row>
    <row s="485" customFormat="1" customHeight="1" ht="11.549999999999999">
      <c r="A3" s="1693"/>
      <c r="B3" s="509"/>
      <c r="D3" s="486"/>
      <c r="J3" s="485">
        <v>11</v>
      </c>
    </row>
    <row customHeight="1" ht="27.299999999999997">
      <c r="D4" s="21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9"/>
      <c r="F4" s="2180"/>
      <c r="I4" s="723"/>
      <c r="J4" s="463">
        <v>26</v>
      </c>
    </row>
    <row customHeight="1" ht="18">
      <c r="D5" s="2197" t="str">
        <f>IF(org=0,"Не определено",org)</f>
        <v>АО "ДГК"</v>
      </c>
      <c r="E5" s="2197"/>
      <c r="F5" s="2197"/>
      <c r="I5" s="723"/>
      <c r="J5" s="463">
        <v>17</v>
      </c>
    </row>
    <row s="485" customFormat="1" customHeight="1" ht="11.549999999999999">
      <c r="A6" s="1693"/>
      <c r="B6" s="509"/>
      <c r="D6" s="722"/>
      <c r="E6" s="722"/>
      <c r="F6" s="760"/>
      <c r="G6" s="722"/>
      <c r="J6" s="485">
        <v>11</v>
      </c>
    </row>
    <row customHeight="1" ht="11.25" hidden="1">
      <c r="A7" s="465"/>
      <c r="B7" s="510"/>
      <c r="C7" s="465"/>
      <c r="D7" s="471"/>
      <c r="E7" s="2228"/>
      <c r="F7" s="2228"/>
      <c r="J7" s="463">
        <v>0</v>
      </c>
    </row>
    <row customHeight="1" ht="11.549999999999999">
      <c r="A8" s="465"/>
      <c r="B8" s="510"/>
      <c r="C8" s="465"/>
      <c r="D8" s="2225" t="s">
        <v>317</v>
      </c>
      <c r="E8" s="2226"/>
      <c r="F8" s="2226"/>
      <c r="G8" s="2229" t="s">
        <v>318</v>
      </c>
      <c r="J8" s="463">
        <v>11</v>
      </c>
    </row>
    <row customHeight="1" ht="11.549999999999999">
      <c r="A9" s="465"/>
      <c r="B9" s="510"/>
      <c r="C9" s="465"/>
      <c r="D9" s="480" t="s">
        <v>88</v>
      </c>
      <c r="E9" s="454" t="s">
        <v>319</v>
      </c>
      <c r="F9" s="454" t="s">
        <v>320</v>
      </c>
      <c r="G9" s="2230"/>
      <c r="J9" s="463">
        <v>11</v>
      </c>
    </row>
    <row customHeight="1" ht="12" hidden="1">
      <c r="A10" s="465"/>
      <c r="B10" s="510"/>
      <c r="C10" s="465"/>
      <c r="D10" s="472"/>
      <c r="E10" s="472"/>
      <c r="F10" s="472"/>
      <c r="G10" s="472"/>
      <c r="J10" s="463">
        <v>0</v>
      </c>
    </row>
    <row customHeight="1" ht="22.5" hidden="1">
      <c r="A11" s="465"/>
      <c r="B11" s="510"/>
      <c r="C11" s="465"/>
      <c r="D11" s="1017" t="s">
        <v>118</v>
      </c>
      <c r="E11" s="1020" t="s">
        <v>321</v>
      </c>
      <c r="F11" s="1019" t="str">
        <f>IF(region_name="","",region_name)</f>
        <v>Амурская область</v>
      </c>
      <c r="G11" s="1020" t="s">
        <v>322</v>
      </c>
      <c r="H11" s="483"/>
      <c r="J11" s="463">
        <v>0</v>
      </c>
    </row>
    <row customHeight="1" ht="22.5" hidden="1">
      <c r="A12" s="465"/>
      <c r="B12" s="510"/>
      <c r="C12" s="465"/>
      <c r="D12" s="453" t="s">
        <v>118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323</v>
      </c>
      <c r="G12" s="482"/>
      <c r="H12" s="483"/>
      <c r="J12" s="463">
        <v>0</v>
      </c>
    </row>
    <row customHeight="1" ht="23.25">
      <c r="A13" s="465"/>
      <c r="B13" s="510"/>
      <c r="C13" s="465"/>
      <c r="D13" s="453" t="s">
        <v>118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324</v>
      </c>
      <c r="E14" s="1018" t="s">
        <v>325</v>
      </c>
      <c r="F14" s="1019" t="str">
        <f>IF(inn="","",inn)</f>
        <v>1434031363</v>
      </c>
      <c r="G14" s="1020" t="s">
        <v>326</v>
      </c>
      <c r="H14" s="483"/>
      <c r="J14" s="463">
        <v>0</v>
      </c>
    </row>
    <row customHeight="1" ht="22.5" hidden="1">
      <c r="A15" s="465"/>
      <c r="B15" s="510"/>
      <c r="C15" s="465"/>
      <c r="D15" s="1017" t="s">
        <v>327</v>
      </c>
      <c r="E15" s="1018" t="s">
        <v>328</v>
      </c>
      <c r="F15" s="1019" t="str">
        <f>IF(kpp="","",kpp)</f>
        <v>280145002</v>
      </c>
      <c r="G15" s="1020" t="s">
        <v>329</v>
      </c>
      <c r="H15" s="483"/>
      <c r="J15" s="463">
        <v>0</v>
      </c>
    </row>
    <row customHeight="1" ht="39">
      <c r="A16" s="465"/>
      <c r="B16" s="510"/>
      <c r="C16" s="465"/>
      <c r="D16" s="453" t="s">
        <v>102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39"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23" t="s">
        <v>330</v>
      </c>
      <c r="B19" s="510"/>
      <c r="C19" s="2234"/>
      <c r="D19" s="453" t="str">
        <f>A19</f>
        <v>5.1</v>
      </c>
      <c r="E19" s="450" t="s">
        <v>331</v>
      </c>
      <c r="F19" s="451" t="s">
        <v>323</v>
      </c>
      <c r="G19" s="452" t="s">
        <v>332</v>
      </c>
      <c r="H19" s="483"/>
      <c r="I19" s="860"/>
      <c r="J19" s="463">
        <v>0</v>
      </c>
    </row>
    <row customHeight="1" ht="24">
      <c r="A20" s="2223"/>
      <c r="B20" s="510"/>
      <c r="C20" s="2234"/>
      <c r="D20" s="448" t="str">
        <f>D19&amp;".1"</f>
        <v>5.1.1</v>
      </c>
      <c r="E20" s="447" t="s">
        <v>333</v>
      </c>
      <c r="F20" s="2657" t="s">
        <v>22</v>
      </c>
      <c r="G20" s="482"/>
      <c r="H20" s="483"/>
      <c r="I20" s="860"/>
      <c r="J20" s="463">
        <v>0</v>
      </c>
    </row>
    <row customHeight="1" ht="22.5">
      <c r="A21" s="2223"/>
      <c r="B21" s="510"/>
      <c r="C21" s="2234"/>
      <c r="D21" s="448" t="str">
        <f>D19&amp;".2"</f>
        <v>5.1.2</v>
      </c>
      <c r="E21" s="447" t="s">
        <v>334</v>
      </c>
      <c r="F21" s="2658" t="s">
        <v>22</v>
      </c>
      <c r="G21" s="452" t="s">
        <v>335</v>
      </c>
      <c r="H21" s="483"/>
      <c r="I21" s="860"/>
      <c r="J21" s="463">
        <v>0</v>
      </c>
    </row>
    <row customHeight="1" ht="22.5">
      <c r="A22" s="2223"/>
      <c r="B22" s="510"/>
      <c r="C22" s="2234"/>
      <c r="D22" s="448" t="str">
        <f>D19&amp;".3"</f>
        <v>5.1.3</v>
      </c>
      <c r="E22" s="447" t="s">
        <v>336</v>
      </c>
      <c r="F22" s="2657" t="s">
        <v>22</v>
      </c>
      <c r="G22" s="482"/>
      <c r="H22" s="483"/>
      <c r="I22" s="860"/>
      <c r="J22" s="463">
        <v>0</v>
      </c>
    </row>
    <row customHeight="1" ht="22.5">
      <c r="A23" s="2223"/>
      <c r="B23" s="510"/>
      <c r="C23" s="2234"/>
      <c r="D23" s="448" t="str">
        <f>D19&amp;".4"</f>
        <v>5.1.4</v>
      </c>
      <c r="E23" s="447" t="s">
        <v>337</v>
      </c>
      <c r="F23" s="2657" t="s">
        <v>22</v>
      </c>
      <c r="G23" s="452" t="s">
        <v>338</v>
      </c>
      <c r="H23" s="483"/>
      <c r="I23" s="860"/>
      <c r="J23" s="463">
        <v>0</v>
      </c>
    </row>
    <row customHeight="1" ht="22.5">
      <c r="A24" s="1983"/>
      <c r="B24" s="510"/>
      <c r="C24" s="500"/>
      <c r="D24" s="475"/>
      <c r="E24" s="1176" t="s">
        <v>339</v>
      </c>
      <c r="F24" s="476"/>
      <c r="G24" s="477"/>
      <c r="H24" s="483"/>
      <c r="I24" s="860"/>
      <c r="J24" s="463">
        <v>0</v>
      </c>
    </row>
    <row s="509" customFormat="1" customHeight="1" ht="24.75" hidden="1">
      <c r="A25" s="465"/>
      <c r="B25" s="510"/>
      <c r="C25" s="510"/>
      <c r="D25" s="1014" t="s">
        <v>90</v>
      </c>
      <c r="E25" s="1016" t="s">
        <v>340</v>
      </c>
      <c r="F25" s="1021" t="s">
        <v>323</v>
      </c>
      <c r="G25" s="1016"/>
      <c r="J25" s="509">
        <v>0</v>
      </c>
    </row>
    <row s="509" customFormat="1" customHeight="1" ht="11.25" hidden="1">
      <c r="A26" s="465"/>
      <c r="B26" s="510"/>
      <c r="C26" s="510"/>
      <c r="D26" s="1014" t="s">
        <v>341</v>
      </c>
      <c r="E26" s="1015" t="s">
        <v>342</v>
      </c>
      <c r="F26" s="1021" t="s">
        <v>323</v>
      </c>
      <c r="G26" s="1016"/>
      <c r="J26" s="509">
        <v>0</v>
      </c>
    </row>
    <row s="509" customFormat="1" customHeight="1" ht="11.25" hidden="1">
      <c r="A27" s="465"/>
      <c r="B27" s="510"/>
      <c r="C27" s="510"/>
      <c r="D27" s="1014" t="s">
        <v>343</v>
      </c>
      <c r="E27" s="1022" t="s">
        <v>344</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345</v>
      </c>
      <c r="E28" s="1022" t="s">
        <v>346</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347</v>
      </c>
      <c r="E29" s="1022" t="s">
        <v>348</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349</v>
      </c>
      <c r="E30" s="1015" t="s">
        <v>350</v>
      </c>
      <c r="F30" s="1023"/>
      <c r="G30" s="1016"/>
      <c r="J30" s="509">
        <v>0</v>
      </c>
    </row>
    <row s="509" customFormat="1" customHeight="1" ht="11.25" hidden="1">
      <c r="A31" s="465"/>
      <c r="B31" s="510"/>
      <c r="C31" s="510"/>
      <c r="D31" s="1014" t="s">
        <v>351</v>
      </c>
      <c r="E31" s="1015" t="s">
        <v>352</v>
      </c>
      <c r="F31" s="1023"/>
      <c r="G31" s="1016"/>
      <c r="J31" s="509">
        <v>0</v>
      </c>
    </row>
    <row s="509" customFormat="1" customHeight="1" ht="11.25" hidden="1">
      <c r="A32" s="465"/>
      <c r="B32" s="510"/>
      <c r="C32" s="510"/>
      <c r="D32" s="1014" t="s">
        <v>353</v>
      </c>
      <c r="E32" s="1015" t="s">
        <v>354</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323</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355</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355</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323</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32"/>
      <c r="H40" s="483"/>
      <c r="J40" s="463">
        <v>0</v>
      </c>
    </row>
    <row customHeight="1" ht="23.25">
      <c r="A41" s="465"/>
      <c r="B41" s="465"/>
      <c r="C41" s="1695"/>
      <c r="D41" s="448" t="str">
        <f>D39&amp;".1"</f>
        <v>9.1</v>
      </c>
      <c r="E41" s="868"/>
      <c r="F41" s="869"/>
      <c r="G41" s="2232"/>
      <c r="H41" s="483"/>
      <c r="J41" s="463">
        <v>22</v>
      </c>
    </row>
    <row customHeight="1" ht="15.75">
      <c r="A42" s="465"/>
      <c r="B42" s="510"/>
      <c r="C42" s="465"/>
      <c r="D42" s="475"/>
      <c r="E42" s="423" t="s">
        <v>356</v>
      </c>
      <c r="F42" s="477"/>
      <c r="G42" s="2233"/>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357</v>
      </c>
      <c r="H44" s="483"/>
      <c r="J44" s="463">
        <v>22</v>
      </c>
    </row>
    <row customHeight="1" ht="23.25">
      <c r="A45" s="465"/>
      <c r="B45" s="510"/>
      <c r="C45" s="465"/>
      <c r="D45" s="448">
        <f>D44+1</f>
        <v>12</v>
      </c>
      <c r="E45" s="446" t="s">
        <v>358</v>
      </c>
      <c r="F45" s="451" t="s">
        <v>323</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1"/>
      <c r="G46" s="445" t="s">
        <v>359</v>
      </c>
      <c r="H46" s="483"/>
      <c r="J46" s="463">
        <v>23</v>
      </c>
    </row>
    <row customHeight="1" ht="24">
      <c r="A47" s="2223"/>
      <c r="B47" s="510"/>
      <c r="C47" s="500"/>
      <c r="D47" s="448" t="str">
        <f>D45&amp;".2"</f>
        <v>12.2</v>
      </c>
      <c r="E47" s="450" t="s">
        <v>360</v>
      </c>
      <c r="F47" s="498"/>
      <c r="G47" s="445" t="s">
        <v>361</v>
      </c>
      <c r="H47" s="483"/>
      <c r="J47" s="463">
        <v>23</v>
      </c>
    </row>
    <row customHeight="1" ht="24">
      <c r="A48" s="2223"/>
      <c r="B48" s="510"/>
      <c r="C48" s="500"/>
      <c r="D48" s="448" t="str">
        <f>D45&amp;".3"</f>
        <v>12.3</v>
      </c>
      <c r="E48" s="450" t="s">
        <v>362</v>
      </c>
      <c r="F48" s="498"/>
      <c r="G48" s="445" t="s">
        <v>363</v>
      </c>
      <c r="H48" s="483"/>
      <c r="J48" s="463">
        <v>23</v>
      </c>
    </row>
    <row customHeight="1" ht="24">
      <c r="A49" s="2223"/>
      <c r="B49" s="510"/>
      <c r="C49" s="500"/>
      <c r="D49" s="448" t="str">
        <f>IF(TEMPLATE_SPHERE="TKO",D45&amp;".0",D45&amp;".4")</f>
        <v>12.4</v>
      </c>
      <c r="E49" s="444" t="s">
        <v>364</v>
      </c>
      <c r="F49" s="1692"/>
      <c r="G49" s="1769" t="s">
        <v>365</v>
      </c>
      <c r="H49" s="483"/>
      <c r="J49" s="463">
        <v>23</v>
      </c>
    </row>
    <row customHeight="1" ht="24">
      <c r="A50" s="465"/>
      <c r="B50" s="510"/>
      <c r="C50" s="465"/>
      <c r="D50" s="475"/>
      <c r="E50" s="423" t="s">
        <v>366</v>
      </c>
      <c r="F50" s="476"/>
      <c r="G50" s="1769" t="s">
        <v>367</v>
      </c>
      <c r="H50" s="484"/>
      <c r="J50" s="463">
        <v>23</v>
      </c>
    </row>
    <row customHeight="1" ht="24">
      <c r="A51" s="866"/>
      <c r="B51" s="510"/>
      <c r="C51" s="500"/>
      <c r="D51" s="448">
        <f>D45+1</f>
        <v>13</v>
      </c>
      <c r="E51" s="536" t="s">
        <v>368</v>
      </c>
      <c r="F51" s="498"/>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4"/>
      <c r="B53" s="511"/>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7"/>
      <c r="F53" s="2227"/>
      <c r="G53" s="2227"/>
      <c r="H53" s="462"/>
      <c r="I53" s="462"/>
      <c r="J53" s="468">
        <v>30</v>
      </c>
    </row>
    <row s="468" customFormat="1" customHeight="1" ht="42">
      <c r="A54" s="465"/>
      <c r="B54" s="510"/>
      <c r="C54" s="2224"/>
      <c r="D54" s="222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7"/>
      <c r="F54" s="2227"/>
      <c r="G54" s="2227"/>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3" t="s">
        <v>82</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FDA7F-139B-C4D2-40AB-6F15C963F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4AF4B-4D9A-E1D3-393E-92679948BF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84667-5C76-8357-7D52-3ADBE397B7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ADCE4-99C1-0F63-E36E-810ACBA7987A}"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37" t="s">
        <v>2377</v>
      </c>
      <c r="B1" s="2638" t="s">
        <v>2378</v>
      </c>
      <c r="C1" s="2639" t="s">
        <v>2379</v>
      </c>
      <c r="D1" s="2640"/>
      <c r="E1" s="844" t="s">
        <v>2380</v>
      </c>
    </row>
    <row customHeight="1" ht="11.25">
      <c r="A2" s="2641"/>
      <c r="B2" s="773" t="s">
        <v>27</v>
      </c>
      <c r="C2" s="761"/>
      <c r="D2" s="772"/>
      <c r="E2" s="844"/>
    </row>
    <row customHeight="1" ht="11.25">
      <c r="A3" s="2642"/>
      <c r="B3" s="2643" t="s">
        <v>33</v>
      </c>
      <c r="C3" s="761"/>
      <c r="D3" s="772"/>
      <c r="E3" s="844"/>
    </row>
    <row customHeight="1" ht="11.25">
      <c r="A4" s="2644"/>
      <c r="B4" s="774" t="s">
        <v>1824</v>
      </c>
      <c r="C4" s="761"/>
      <c r="D4" s="772"/>
      <c r="E4" s="844"/>
    </row>
    <row customHeight="1" ht="11.25">
      <c r="A5" s="2645"/>
      <c r="B5" s="774" t="s">
        <v>1820</v>
      </c>
      <c r="C5" s="2646" t="s">
        <v>2147</v>
      </c>
      <c r="D5" s="2647" t="s">
        <v>2381</v>
      </c>
      <c r="E5" s="844"/>
    </row>
    <row s="1855" customFormat="1" customHeight="1" ht="11.25">
      <c r="A6" s="2648"/>
      <c r="B6" s="774" t="s">
        <v>1827</v>
      </c>
      <c r="C6" s="761"/>
      <c r="D6" s="772"/>
      <c r="E6" s="844"/>
    </row>
    <row customHeight="1" ht="11.25">
      <c r="A7" s="2649"/>
      <c r="B7" s="774" t="s">
        <v>1833</v>
      </c>
      <c r="C7" s="761"/>
      <c r="D7" s="772"/>
      <c r="E7" s="844"/>
    </row>
    <row customHeight="1" ht="11.25">
      <c r="A8" s="764"/>
      <c r="B8" s="774" t="s">
        <v>1829</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71006-2F93-91A1-96B8-79C67CD528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6EFA1-9075-5B72-5F86-80058D002A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54FCD-FF47-BFEF-EBCC-6EC2BC030C7B}" mc:Ignorable="x14ac xr xr2 xr3">
  <sheetPr>
    <tabColor rgb="FFFFCC99"/>
  </sheetPr>
  <dimension ref="A1:I520"/>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6" t="s">
        <v>2382</v>
      </c>
      <c r="B1" s="76" t="s">
        <v>2383</v>
      </c>
      <c r="C1" s="76" t="s">
        <v>2384</v>
      </c>
      <c r="D1" s="76" t="s">
        <v>2385</v>
      </c>
      <c r="E1" s="76" t="s">
        <v>2386</v>
      </c>
      <c r="F1" s="76" t="s">
        <v>2387</v>
      </c>
      <c r="G1" s="76" t="s">
        <v>2388</v>
      </c>
      <c r="H1" s="76" t="s">
        <v>2389</v>
      </c>
      <c r="I1" s="76" t="s">
        <v>2390</v>
      </c>
    </row>
    <row customHeight="1" ht="11.25">
      <c r="A2" s="1855" t="s">
        <v>2391</v>
      </c>
      <c r="B2" s="1855" t="s">
        <v>16</v>
      </c>
      <c r="C2" s="1855" t="s">
        <v>2392</v>
      </c>
      <c r="D2" s="1855" t="s">
        <v>2393</v>
      </c>
      <c r="E2" s="1855" t="s">
        <v>2394</v>
      </c>
      <c r="F2" s="1855" t="s">
        <v>2395</v>
      </c>
      <c r="G2" s="1855" t="s">
        <v>22</v>
      </c>
      <c r="H2" s="1855" t="s">
        <v>22</v>
      </c>
      <c r="I2" s="1855" t="s">
        <v>852</v>
      </c>
    </row>
    <row customHeight="1" ht="11.25">
      <c r="A3" s="1855" t="s">
        <v>2391</v>
      </c>
      <c r="B3" s="1855" t="s">
        <v>16</v>
      </c>
      <c r="C3" s="1855" t="s">
        <v>2396</v>
      </c>
      <c r="D3" s="1855" t="s">
        <v>2397</v>
      </c>
      <c r="E3" s="1855" t="s">
        <v>2398</v>
      </c>
      <c r="F3" s="1855" t="s">
        <v>2399</v>
      </c>
      <c r="G3" s="1855" t="s">
        <v>22</v>
      </c>
      <c r="H3" s="1855" t="s">
        <v>22</v>
      </c>
      <c r="I3" s="1855" t="s">
        <v>852</v>
      </c>
    </row>
    <row customHeight="1" ht="11.25">
      <c r="A4" s="1855" t="s">
        <v>2391</v>
      </c>
      <c r="B4" s="1855" t="s">
        <v>16</v>
      </c>
      <c r="C4" s="1855" t="s">
        <v>2400</v>
      </c>
      <c r="D4" s="1855" t="s">
        <v>2401</v>
      </c>
      <c r="E4" s="1855" t="s">
        <v>2402</v>
      </c>
      <c r="F4" s="1855" t="s">
        <v>2403</v>
      </c>
      <c r="G4" s="1855" t="s">
        <v>22</v>
      </c>
      <c r="H4" s="1855" t="s">
        <v>22</v>
      </c>
      <c r="I4" s="1855" t="s">
        <v>852</v>
      </c>
    </row>
    <row customHeight="1" ht="11.25">
      <c r="A5" s="1855" t="s">
        <v>2391</v>
      </c>
      <c r="B5" s="1855" t="s">
        <v>16</v>
      </c>
      <c r="C5" s="1855" t="s">
        <v>13</v>
      </c>
      <c r="D5" s="1855" t="s">
        <v>45</v>
      </c>
      <c r="E5" s="1855" t="s">
        <v>48</v>
      </c>
      <c r="F5" s="1855" t="s">
        <v>50</v>
      </c>
      <c r="G5" s="1855" t="s">
        <v>22</v>
      </c>
      <c r="H5" s="1855" t="s">
        <v>22</v>
      </c>
      <c r="I5" s="1855" t="s">
        <v>852</v>
      </c>
    </row>
    <row customHeight="1" ht="11.25">
      <c r="A6" s="1855" t="s">
        <v>2391</v>
      </c>
      <c r="B6" s="1855" t="s">
        <v>16</v>
      </c>
      <c r="C6" s="1855" t="s">
        <v>2404</v>
      </c>
      <c r="D6" s="1855" t="s">
        <v>45</v>
      </c>
      <c r="E6" s="1855" t="s">
        <v>48</v>
      </c>
      <c r="F6" s="1855" t="s">
        <v>2405</v>
      </c>
      <c r="G6" s="1855" t="s">
        <v>2406</v>
      </c>
      <c r="H6" s="1855" t="s">
        <v>22</v>
      </c>
      <c r="I6" s="1855" t="s">
        <v>852</v>
      </c>
    </row>
    <row customHeight="1" ht="11.25">
      <c r="A7" s="1855" t="s">
        <v>2391</v>
      </c>
      <c r="B7" s="1855" t="s">
        <v>16</v>
      </c>
      <c r="C7" s="1855" t="s">
        <v>2407</v>
      </c>
      <c r="D7" s="1855" t="s">
        <v>2408</v>
      </c>
      <c r="E7" s="1855" t="s">
        <v>48</v>
      </c>
      <c r="F7" s="1855" t="s">
        <v>2409</v>
      </c>
      <c r="G7" s="1855" t="s">
        <v>22</v>
      </c>
      <c r="H7" s="1855" t="s">
        <v>22</v>
      </c>
      <c r="I7" s="1855" t="s">
        <v>852</v>
      </c>
    </row>
    <row customHeight="1" ht="11.25">
      <c r="A8" s="1855" t="s">
        <v>2391</v>
      </c>
      <c r="B8" s="1855" t="s">
        <v>16</v>
      </c>
      <c r="C8" s="1855" t="s">
        <v>2410</v>
      </c>
      <c r="D8" s="1855" t="s">
        <v>2411</v>
      </c>
      <c r="E8" s="1855" t="s">
        <v>48</v>
      </c>
      <c r="F8" s="1855" t="s">
        <v>2412</v>
      </c>
      <c r="G8" s="1855" t="s">
        <v>22</v>
      </c>
      <c r="H8" s="1855" t="s">
        <v>22</v>
      </c>
      <c r="I8" s="1855" t="s">
        <v>852</v>
      </c>
    </row>
    <row customHeight="1" ht="11.25">
      <c r="A9" s="1855" t="s">
        <v>2391</v>
      </c>
      <c r="B9" s="1855" t="s">
        <v>16</v>
      </c>
      <c r="C9" s="1855" t="s">
        <v>2413</v>
      </c>
      <c r="D9" s="1855" t="s">
        <v>2414</v>
      </c>
      <c r="E9" s="1855" t="s">
        <v>48</v>
      </c>
      <c r="F9" s="1855" t="s">
        <v>2415</v>
      </c>
      <c r="G9" s="1855" t="s">
        <v>22</v>
      </c>
      <c r="H9" s="1855" t="s">
        <v>22</v>
      </c>
      <c r="I9" s="1855" t="s">
        <v>852</v>
      </c>
    </row>
    <row customHeight="1" ht="11.25">
      <c r="A10" s="1855" t="s">
        <v>2391</v>
      </c>
      <c r="B10" s="1855" t="s">
        <v>16</v>
      </c>
      <c r="C10" s="1855" t="s">
        <v>2416</v>
      </c>
      <c r="D10" s="1855" t="s">
        <v>2417</v>
      </c>
      <c r="E10" s="1855" t="s">
        <v>2418</v>
      </c>
      <c r="F10" s="1855" t="s">
        <v>2419</v>
      </c>
      <c r="G10" s="1855" t="s">
        <v>22</v>
      </c>
      <c r="H10" s="1855" t="s">
        <v>22</v>
      </c>
      <c r="I10" s="1855" t="s">
        <v>852</v>
      </c>
    </row>
    <row customHeight="1" ht="11.25">
      <c r="A11" s="1855" t="s">
        <v>2391</v>
      </c>
      <c r="B11" s="1855" t="s">
        <v>16</v>
      </c>
      <c r="C11" s="1855" t="s">
        <v>2420</v>
      </c>
      <c r="D11" s="1855" t="s">
        <v>2421</v>
      </c>
      <c r="E11" s="1855" t="s">
        <v>2422</v>
      </c>
      <c r="F11" s="1855" t="s">
        <v>2423</v>
      </c>
      <c r="G11" s="1855" t="s">
        <v>22</v>
      </c>
      <c r="H11" s="1855" t="s">
        <v>22</v>
      </c>
      <c r="I11" s="1855" t="s">
        <v>852</v>
      </c>
    </row>
    <row customHeight="1" ht="11.25">
      <c r="A12" s="1855" t="s">
        <v>2391</v>
      </c>
      <c r="B12" s="1855" t="s">
        <v>16</v>
      </c>
      <c r="C12" s="1855" t="s">
        <v>2424</v>
      </c>
      <c r="D12" s="1855" t="s">
        <v>2425</v>
      </c>
      <c r="E12" s="1855" t="s">
        <v>2426</v>
      </c>
      <c r="F12" s="1855" t="s">
        <v>2427</v>
      </c>
      <c r="G12" s="1855" t="s">
        <v>22</v>
      </c>
      <c r="H12" s="1855" t="s">
        <v>22</v>
      </c>
      <c r="I12" s="1855" t="s">
        <v>852</v>
      </c>
    </row>
    <row customHeight="1" ht="11.25">
      <c r="A13" s="1855" t="s">
        <v>2391</v>
      </c>
      <c r="B13" s="1855" t="s">
        <v>16</v>
      </c>
      <c r="C13" s="1855" t="s">
        <v>2428</v>
      </c>
      <c r="D13" s="1855" t="s">
        <v>2429</v>
      </c>
      <c r="E13" s="1855" t="s">
        <v>2430</v>
      </c>
      <c r="F13" s="1855" t="s">
        <v>2431</v>
      </c>
      <c r="G13" s="1855" t="s">
        <v>22</v>
      </c>
      <c r="H13" s="1855" t="s">
        <v>22</v>
      </c>
      <c r="I13" s="1855" t="s">
        <v>852</v>
      </c>
    </row>
    <row customHeight="1" ht="11.25">
      <c r="A14" s="1855" t="s">
        <v>2391</v>
      </c>
      <c r="B14" s="1855" t="s">
        <v>16</v>
      </c>
      <c r="C14" s="1855" t="s">
        <v>2432</v>
      </c>
      <c r="D14" s="1855" t="s">
        <v>2433</v>
      </c>
      <c r="E14" s="1855" t="s">
        <v>2434</v>
      </c>
      <c r="F14" s="1855" t="s">
        <v>2399</v>
      </c>
      <c r="G14" s="1855" t="s">
        <v>22</v>
      </c>
      <c r="H14" s="1855" t="s">
        <v>22</v>
      </c>
      <c r="I14" s="1855" t="s">
        <v>852</v>
      </c>
    </row>
    <row customHeight="1" ht="11.25">
      <c r="A15" s="1855" t="s">
        <v>2391</v>
      </c>
      <c r="B15" s="1855" t="s">
        <v>16</v>
      </c>
      <c r="C15" s="1855" t="s">
        <v>2435</v>
      </c>
      <c r="D15" s="1855" t="s">
        <v>2436</v>
      </c>
      <c r="E15" s="1855" t="s">
        <v>2437</v>
      </c>
      <c r="F15" s="1855" t="s">
        <v>2438</v>
      </c>
      <c r="G15" s="1855" t="s">
        <v>22</v>
      </c>
      <c r="H15" s="1855" t="s">
        <v>22</v>
      </c>
      <c r="I15" s="1855" t="s">
        <v>852</v>
      </c>
    </row>
    <row customHeight="1" ht="11.25">
      <c r="A16" s="1855" t="s">
        <v>2391</v>
      </c>
      <c r="B16" s="1855" t="s">
        <v>16</v>
      </c>
      <c r="C16" s="1855" t="s">
        <v>2439</v>
      </c>
      <c r="D16" s="1855" t="s">
        <v>2440</v>
      </c>
      <c r="E16" s="1855" t="s">
        <v>2441</v>
      </c>
      <c r="F16" s="1855" t="s">
        <v>2442</v>
      </c>
      <c r="G16" s="1855" t="s">
        <v>2443</v>
      </c>
      <c r="H16" s="1855" t="s">
        <v>22</v>
      </c>
      <c r="I16" s="1855" t="s">
        <v>852</v>
      </c>
    </row>
    <row customHeight="1" ht="11.25">
      <c r="A17" s="1855" t="s">
        <v>2391</v>
      </c>
      <c r="B17" s="1855" t="s">
        <v>16</v>
      </c>
      <c r="C17" s="1855" t="s">
        <v>2444</v>
      </c>
      <c r="D17" s="1855" t="s">
        <v>2445</v>
      </c>
      <c r="E17" s="1855" t="s">
        <v>2446</v>
      </c>
      <c r="F17" s="1855" t="s">
        <v>2447</v>
      </c>
      <c r="G17" s="1855" t="s">
        <v>22</v>
      </c>
      <c r="H17" s="1855" t="s">
        <v>22</v>
      </c>
      <c r="I17" s="1855" t="s">
        <v>852</v>
      </c>
    </row>
    <row customHeight="1" ht="11.25">
      <c r="A18" s="1855" t="s">
        <v>2391</v>
      </c>
      <c r="B18" s="1855" t="s">
        <v>16</v>
      </c>
      <c r="C18" s="1855" t="s">
        <v>2448</v>
      </c>
      <c r="D18" s="1855" t="s">
        <v>2449</v>
      </c>
      <c r="E18" s="1855" t="s">
        <v>2450</v>
      </c>
      <c r="F18" s="1855" t="s">
        <v>2399</v>
      </c>
      <c r="G18" s="1855" t="s">
        <v>22</v>
      </c>
      <c r="H18" s="1855" t="s">
        <v>22</v>
      </c>
      <c r="I18" s="1855" t="s">
        <v>852</v>
      </c>
    </row>
    <row customHeight="1" ht="11.25">
      <c r="A19" s="1855" t="s">
        <v>2391</v>
      </c>
      <c r="B19" s="1855" t="s">
        <v>16</v>
      </c>
      <c r="C19" s="1855" t="s">
        <v>2451</v>
      </c>
      <c r="D19" s="1855" t="s">
        <v>2452</v>
      </c>
      <c r="E19" s="1855" t="s">
        <v>2453</v>
      </c>
      <c r="F19" s="1855" t="s">
        <v>2399</v>
      </c>
      <c r="G19" s="1855" t="s">
        <v>22</v>
      </c>
      <c r="H19" s="1855" t="s">
        <v>22</v>
      </c>
      <c r="I19" s="1855" t="s">
        <v>852</v>
      </c>
    </row>
    <row customHeight="1" ht="11.25">
      <c r="A20" s="1855" t="s">
        <v>2391</v>
      </c>
      <c r="B20" s="1855" t="s">
        <v>16</v>
      </c>
      <c r="C20" s="1855" t="s">
        <v>2454</v>
      </c>
      <c r="D20" s="1855" t="s">
        <v>2455</v>
      </c>
      <c r="E20" s="1855" t="s">
        <v>2456</v>
      </c>
      <c r="F20" s="1855" t="s">
        <v>2423</v>
      </c>
      <c r="G20" s="1855" t="s">
        <v>22</v>
      </c>
      <c r="H20" s="1855" t="s">
        <v>22</v>
      </c>
      <c r="I20" s="1855" t="s">
        <v>852</v>
      </c>
    </row>
    <row customHeight="1" ht="11.25">
      <c r="A21" s="1855" t="s">
        <v>2391</v>
      </c>
      <c r="B21" s="1855" t="s">
        <v>16</v>
      </c>
      <c r="C21" s="1855" t="s">
        <v>2457</v>
      </c>
      <c r="D21" s="1855" t="s">
        <v>2458</v>
      </c>
      <c r="E21" s="1855" t="s">
        <v>2459</v>
      </c>
      <c r="F21" s="1855" t="s">
        <v>2427</v>
      </c>
      <c r="G21" s="1855" t="s">
        <v>22</v>
      </c>
      <c r="H21" s="1855" t="s">
        <v>22</v>
      </c>
      <c r="I21" s="1855" t="s">
        <v>852</v>
      </c>
    </row>
    <row customHeight="1" ht="11.25">
      <c r="A22" s="1855" t="s">
        <v>2391</v>
      </c>
      <c r="B22" s="1855" t="s">
        <v>16</v>
      </c>
      <c r="C22" s="1855" t="s">
        <v>2460</v>
      </c>
      <c r="D22" s="1855" t="s">
        <v>2461</v>
      </c>
      <c r="E22" s="1855" t="s">
        <v>2456</v>
      </c>
      <c r="F22" s="1855" t="s">
        <v>2462</v>
      </c>
      <c r="G22" s="1855" t="s">
        <v>22</v>
      </c>
      <c r="H22" s="1855" t="s">
        <v>22</v>
      </c>
      <c r="I22" s="1855" t="s">
        <v>852</v>
      </c>
    </row>
    <row customHeight="1" ht="11.25">
      <c r="A23" s="1855" t="s">
        <v>2391</v>
      </c>
      <c r="B23" s="1855" t="s">
        <v>16</v>
      </c>
      <c r="C23" s="1855" t="s">
        <v>2463</v>
      </c>
      <c r="D23" s="1855" t="s">
        <v>2464</v>
      </c>
      <c r="E23" s="1855" t="s">
        <v>2465</v>
      </c>
      <c r="F23" s="1855" t="s">
        <v>592</v>
      </c>
      <c r="G23" s="1855" t="s">
        <v>22</v>
      </c>
      <c r="H23" s="1855" t="s">
        <v>22</v>
      </c>
      <c r="I23" s="1855" t="s">
        <v>852</v>
      </c>
    </row>
    <row customHeight="1" ht="11.25">
      <c r="A24" s="1855" t="s">
        <v>2391</v>
      </c>
      <c r="B24" s="1855" t="s">
        <v>16</v>
      </c>
      <c r="C24" s="1855" t="s">
        <v>2466</v>
      </c>
      <c r="D24" s="1855" t="s">
        <v>2467</v>
      </c>
      <c r="E24" s="1855" t="s">
        <v>2468</v>
      </c>
      <c r="F24" s="1855" t="s">
        <v>592</v>
      </c>
      <c r="G24" s="1855" t="s">
        <v>22</v>
      </c>
      <c r="H24" s="1855" t="s">
        <v>22</v>
      </c>
      <c r="I24" s="1855" t="s">
        <v>852</v>
      </c>
    </row>
    <row customHeight="1" ht="11.25">
      <c r="A25" s="1855" t="s">
        <v>2391</v>
      </c>
      <c r="B25" s="1855" t="s">
        <v>16</v>
      </c>
      <c r="C25" s="1855" t="s">
        <v>2469</v>
      </c>
      <c r="D25" s="1855" t="s">
        <v>2470</v>
      </c>
      <c r="E25" s="1855" t="s">
        <v>2471</v>
      </c>
      <c r="F25" s="1855" t="s">
        <v>592</v>
      </c>
      <c r="G25" s="1855" t="s">
        <v>22</v>
      </c>
      <c r="H25" s="1855" t="s">
        <v>22</v>
      </c>
      <c r="I25" s="1855" t="s">
        <v>852</v>
      </c>
    </row>
    <row customHeight="1" ht="11.25">
      <c r="A26" s="1855" t="s">
        <v>2391</v>
      </c>
      <c r="B26" s="1855" t="s">
        <v>16</v>
      </c>
      <c r="C26" s="1855" t="s">
        <v>2472</v>
      </c>
      <c r="D26" s="1855" t="s">
        <v>2473</v>
      </c>
      <c r="E26" s="1855" t="s">
        <v>2474</v>
      </c>
      <c r="F26" s="1855" t="s">
        <v>2475</v>
      </c>
      <c r="G26" s="1855" t="s">
        <v>22</v>
      </c>
      <c r="H26" s="1855" t="s">
        <v>22</v>
      </c>
      <c r="I26" s="1855" t="s">
        <v>852</v>
      </c>
    </row>
    <row customHeight="1" ht="11.25">
      <c r="A27" s="1855" t="s">
        <v>2391</v>
      </c>
      <c r="B27" s="1855" t="s">
        <v>16</v>
      </c>
      <c r="C27" s="1855" t="s">
        <v>2476</v>
      </c>
      <c r="D27" s="1855" t="s">
        <v>2477</v>
      </c>
      <c r="E27" s="1855" t="s">
        <v>2478</v>
      </c>
      <c r="F27" s="1855" t="s">
        <v>2427</v>
      </c>
      <c r="G27" s="1855" t="s">
        <v>22</v>
      </c>
      <c r="H27" s="1855" t="s">
        <v>22</v>
      </c>
      <c r="I27" s="1855" t="s">
        <v>852</v>
      </c>
    </row>
    <row customHeight="1" ht="11.25">
      <c r="A28" s="1855" t="s">
        <v>2391</v>
      </c>
      <c r="B28" s="1855" t="s">
        <v>16</v>
      </c>
      <c r="C28" s="1855" t="s">
        <v>2479</v>
      </c>
      <c r="D28" s="1855" t="s">
        <v>2480</v>
      </c>
      <c r="E28" s="1855" t="s">
        <v>2481</v>
      </c>
      <c r="F28" s="1855" t="s">
        <v>2482</v>
      </c>
      <c r="G28" s="1855" t="s">
        <v>22</v>
      </c>
      <c r="H28" s="1855" t="s">
        <v>22</v>
      </c>
      <c r="I28" s="1855" t="s">
        <v>852</v>
      </c>
    </row>
    <row customHeight="1" ht="11.25">
      <c r="A29" s="1855" t="s">
        <v>2391</v>
      </c>
      <c r="B29" s="1855" t="s">
        <v>16</v>
      </c>
      <c r="C29" s="1855" t="s">
        <v>2483</v>
      </c>
      <c r="D29" s="1855" t="s">
        <v>2484</v>
      </c>
      <c r="E29" s="1855" t="s">
        <v>2485</v>
      </c>
      <c r="F29" s="1855" t="s">
        <v>2486</v>
      </c>
      <c r="G29" s="1855" t="s">
        <v>22</v>
      </c>
      <c r="H29" s="1855" t="s">
        <v>22</v>
      </c>
      <c r="I29" s="1855" t="s">
        <v>852</v>
      </c>
    </row>
    <row customHeight="1" ht="11.25">
      <c r="A30" s="1855" t="s">
        <v>2391</v>
      </c>
      <c r="B30" s="1855" t="s">
        <v>16</v>
      </c>
      <c r="C30" s="1855" t="s">
        <v>2487</v>
      </c>
      <c r="D30" s="1855" t="s">
        <v>2488</v>
      </c>
      <c r="E30" s="1855" t="s">
        <v>2489</v>
      </c>
      <c r="F30" s="1855" t="s">
        <v>2423</v>
      </c>
      <c r="G30" s="1855" t="s">
        <v>22</v>
      </c>
      <c r="H30" s="1855" t="s">
        <v>22</v>
      </c>
      <c r="I30" s="1855" t="s">
        <v>852</v>
      </c>
    </row>
    <row customHeight="1" ht="11.25">
      <c r="A31" s="1855" t="s">
        <v>2391</v>
      </c>
      <c r="B31" s="1855" t="s">
        <v>16</v>
      </c>
      <c r="C31" s="1855" t="s">
        <v>2490</v>
      </c>
      <c r="D31" s="1855" t="s">
        <v>2491</v>
      </c>
      <c r="E31" s="1855" t="s">
        <v>2492</v>
      </c>
      <c r="F31" s="1855" t="s">
        <v>2493</v>
      </c>
      <c r="G31" s="1855" t="s">
        <v>22</v>
      </c>
      <c r="H31" s="1855" t="s">
        <v>22</v>
      </c>
      <c r="I31" s="1855" t="s">
        <v>852</v>
      </c>
    </row>
    <row customHeight="1" ht="11.25">
      <c r="A32" s="1855" t="s">
        <v>2391</v>
      </c>
      <c r="B32" s="1855" t="s">
        <v>16</v>
      </c>
      <c r="C32" s="1855" t="s">
        <v>2494</v>
      </c>
      <c r="D32" s="1855" t="s">
        <v>2495</v>
      </c>
      <c r="E32" s="1855" t="s">
        <v>2496</v>
      </c>
      <c r="F32" s="1855" t="s">
        <v>2497</v>
      </c>
      <c r="G32" s="1855" t="s">
        <v>22</v>
      </c>
      <c r="H32" s="1855" t="s">
        <v>22</v>
      </c>
      <c r="I32" s="1855" t="s">
        <v>852</v>
      </c>
    </row>
    <row customHeight="1" ht="11.25">
      <c r="A33" s="1855" t="s">
        <v>2391</v>
      </c>
      <c r="B33" s="1855" t="s">
        <v>16</v>
      </c>
      <c r="C33" s="1855" t="s">
        <v>2498</v>
      </c>
      <c r="D33" s="1855" t="s">
        <v>2499</v>
      </c>
      <c r="E33" s="1855" t="s">
        <v>2500</v>
      </c>
      <c r="F33" s="1855" t="s">
        <v>2447</v>
      </c>
      <c r="G33" s="1855" t="s">
        <v>22</v>
      </c>
      <c r="H33" s="1855" t="s">
        <v>22</v>
      </c>
      <c r="I33" s="1855" t="s">
        <v>852</v>
      </c>
    </row>
    <row customHeight="1" ht="11.25">
      <c r="A34" s="1855" t="s">
        <v>2391</v>
      </c>
      <c r="B34" s="1855" t="s">
        <v>16</v>
      </c>
      <c r="C34" s="1855" t="s">
        <v>2501</v>
      </c>
      <c r="D34" s="1855" t="s">
        <v>2502</v>
      </c>
      <c r="E34" s="1855" t="s">
        <v>2503</v>
      </c>
      <c r="F34" s="1855" t="s">
        <v>2486</v>
      </c>
      <c r="G34" s="1855" t="s">
        <v>22</v>
      </c>
      <c r="H34" s="1855" t="s">
        <v>22</v>
      </c>
      <c r="I34" s="1855" t="s">
        <v>852</v>
      </c>
    </row>
    <row customHeight="1" ht="11.25">
      <c r="A35" s="1855" t="s">
        <v>2391</v>
      </c>
      <c r="B35" s="1855" t="s">
        <v>16</v>
      </c>
      <c r="C35" s="1855" t="s">
        <v>2504</v>
      </c>
      <c r="D35" s="1855" t="s">
        <v>2505</v>
      </c>
      <c r="E35" s="1855" t="s">
        <v>2506</v>
      </c>
      <c r="F35" s="1855" t="s">
        <v>2423</v>
      </c>
      <c r="G35" s="1855" t="s">
        <v>22</v>
      </c>
      <c r="H35" s="1855" t="s">
        <v>22</v>
      </c>
      <c r="I35" s="1855" t="s">
        <v>852</v>
      </c>
    </row>
    <row customHeight="1" ht="11.25">
      <c r="A36" s="1855" t="s">
        <v>2391</v>
      </c>
      <c r="B36" s="1855" t="s">
        <v>16</v>
      </c>
      <c r="C36" s="1855" t="s">
        <v>2507</v>
      </c>
      <c r="D36" s="1855" t="s">
        <v>2508</v>
      </c>
      <c r="E36" s="1855" t="s">
        <v>2509</v>
      </c>
      <c r="F36" s="1855" t="s">
        <v>2510</v>
      </c>
      <c r="G36" s="1855" t="s">
        <v>22</v>
      </c>
      <c r="H36" s="1855" t="s">
        <v>22</v>
      </c>
      <c r="I36" s="1855" t="s">
        <v>852</v>
      </c>
    </row>
    <row customHeight="1" ht="11.25">
      <c r="A37" s="1855" t="s">
        <v>2391</v>
      </c>
      <c r="B37" s="1855" t="s">
        <v>16</v>
      </c>
      <c r="C37" s="1855" t="s">
        <v>2511</v>
      </c>
      <c r="D37" s="1855" t="s">
        <v>2512</v>
      </c>
      <c r="E37" s="1855" t="s">
        <v>2513</v>
      </c>
      <c r="F37" s="1855" t="s">
        <v>2510</v>
      </c>
      <c r="G37" s="1855" t="s">
        <v>22</v>
      </c>
      <c r="H37" s="1855" t="s">
        <v>22</v>
      </c>
      <c r="I37" s="1855" t="s">
        <v>852</v>
      </c>
    </row>
    <row customHeight="1" ht="11.25">
      <c r="A38" s="1855" t="s">
        <v>2391</v>
      </c>
      <c r="B38" s="1855" t="s">
        <v>16</v>
      </c>
      <c r="C38" s="1855" t="s">
        <v>2514</v>
      </c>
      <c r="D38" s="1855" t="s">
        <v>2515</v>
      </c>
      <c r="E38" s="1855" t="s">
        <v>2516</v>
      </c>
      <c r="F38" s="1855" t="s">
        <v>2517</v>
      </c>
      <c r="G38" s="1855" t="s">
        <v>22</v>
      </c>
      <c r="H38" s="1855" t="s">
        <v>22</v>
      </c>
      <c r="I38" s="1855" t="s">
        <v>852</v>
      </c>
    </row>
    <row customHeight="1" ht="11.25">
      <c r="A39" s="1855" t="s">
        <v>2391</v>
      </c>
      <c r="B39" s="1855" t="s">
        <v>16</v>
      </c>
      <c r="C39" s="1855" t="s">
        <v>2518</v>
      </c>
      <c r="D39" s="1855" t="s">
        <v>2519</v>
      </c>
      <c r="E39" s="1855" t="s">
        <v>2520</v>
      </c>
      <c r="F39" s="1855" t="s">
        <v>2447</v>
      </c>
      <c r="G39" s="1855" t="s">
        <v>2521</v>
      </c>
      <c r="H39" s="1855" t="s">
        <v>22</v>
      </c>
      <c r="I39" s="1855" t="s">
        <v>852</v>
      </c>
    </row>
    <row customHeight="1" ht="11.25">
      <c r="A40" s="1855" t="s">
        <v>2391</v>
      </c>
      <c r="B40" s="1855" t="s">
        <v>16</v>
      </c>
      <c r="C40" s="1855" t="s">
        <v>2522</v>
      </c>
      <c r="D40" s="1855" t="s">
        <v>2523</v>
      </c>
      <c r="E40" s="1855" t="s">
        <v>2524</v>
      </c>
      <c r="F40" s="1855" t="s">
        <v>2525</v>
      </c>
      <c r="G40" s="1855" t="s">
        <v>22</v>
      </c>
      <c r="H40" s="1855" t="s">
        <v>22</v>
      </c>
      <c r="I40" s="1855" t="s">
        <v>852</v>
      </c>
    </row>
    <row customHeight="1" ht="11.25">
      <c r="A41" s="1855" t="s">
        <v>2391</v>
      </c>
      <c r="B41" s="1855" t="s">
        <v>16</v>
      </c>
      <c r="C41" s="1855" t="s">
        <v>2526</v>
      </c>
      <c r="D41" s="1855" t="s">
        <v>2527</v>
      </c>
      <c r="E41" s="1855" t="s">
        <v>2528</v>
      </c>
      <c r="F41" s="1855" t="s">
        <v>2529</v>
      </c>
      <c r="G41" s="1855" t="s">
        <v>22</v>
      </c>
      <c r="H41" s="1855" t="s">
        <v>22</v>
      </c>
      <c r="I41" s="1855" t="s">
        <v>852</v>
      </c>
    </row>
    <row customHeight="1" ht="11.25">
      <c r="A42" s="1855" t="s">
        <v>2391</v>
      </c>
      <c r="B42" s="1855" t="s">
        <v>16</v>
      </c>
      <c r="C42" s="1855" t="s">
        <v>2530</v>
      </c>
      <c r="D42" s="1855" t="s">
        <v>2531</v>
      </c>
      <c r="E42" s="1855" t="s">
        <v>2532</v>
      </c>
      <c r="F42" s="1855" t="s">
        <v>2529</v>
      </c>
      <c r="G42" s="1855" t="s">
        <v>22</v>
      </c>
      <c r="H42" s="1855" t="s">
        <v>22</v>
      </c>
      <c r="I42" s="1855" t="s">
        <v>852</v>
      </c>
    </row>
    <row customHeight="1" ht="11.25">
      <c r="A43" s="1855" t="s">
        <v>2391</v>
      </c>
      <c r="B43" s="1855" t="s">
        <v>16</v>
      </c>
      <c r="C43" s="1855" t="s">
        <v>2533</v>
      </c>
      <c r="D43" s="1855" t="s">
        <v>2534</v>
      </c>
      <c r="E43" s="1855" t="s">
        <v>2535</v>
      </c>
      <c r="F43" s="1855" t="s">
        <v>2427</v>
      </c>
      <c r="G43" s="1855" t="s">
        <v>22</v>
      </c>
      <c r="H43" s="1855" t="s">
        <v>2536</v>
      </c>
      <c r="I43" s="1855" t="s">
        <v>852</v>
      </c>
    </row>
    <row customHeight="1" ht="11.25">
      <c r="A44" s="1855" t="s">
        <v>2391</v>
      </c>
      <c r="B44" s="1855" t="s">
        <v>16</v>
      </c>
      <c r="C44" s="1855" t="s">
        <v>2537</v>
      </c>
      <c r="D44" s="1855" t="s">
        <v>2538</v>
      </c>
      <c r="E44" s="1855" t="s">
        <v>2539</v>
      </c>
      <c r="F44" s="1855" t="s">
        <v>2540</v>
      </c>
      <c r="G44" s="1855" t="s">
        <v>22</v>
      </c>
      <c r="H44" s="1855" t="s">
        <v>22</v>
      </c>
      <c r="I44" s="1855" t="s">
        <v>852</v>
      </c>
    </row>
    <row customHeight="1" ht="11.25">
      <c r="A45" s="1855" t="s">
        <v>2391</v>
      </c>
      <c r="B45" s="1855" t="s">
        <v>16</v>
      </c>
      <c r="C45" s="1855" t="s">
        <v>2541</v>
      </c>
      <c r="D45" s="1855" t="s">
        <v>2542</v>
      </c>
      <c r="E45" s="1855" t="s">
        <v>2543</v>
      </c>
      <c r="F45" s="1855" t="s">
        <v>2544</v>
      </c>
      <c r="G45" s="1855" t="s">
        <v>22</v>
      </c>
      <c r="H45" s="1855" t="s">
        <v>22</v>
      </c>
      <c r="I45" s="1855" t="s">
        <v>852</v>
      </c>
    </row>
    <row customHeight="1" ht="11.25">
      <c r="A46" s="1855" t="s">
        <v>2391</v>
      </c>
      <c r="B46" s="1855" t="s">
        <v>16</v>
      </c>
      <c r="C46" s="1855" t="s">
        <v>2545</v>
      </c>
      <c r="D46" s="1855" t="s">
        <v>2546</v>
      </c>
      <c r="E46" s="1855" t="s">
        <v>2547</v>
      </c>
      <c r="F46" s="1855" t="s">
        <v>2525</v>
      </c>
      <c r="G46" s="1855" t="s">
        <v>22</v>
      </c>
      <c r="H46" s="1855" t="s">
        <v>22</v>
      </c>
      <c r="I46" s="1855" t="s">
        <v>852</v>
      </c>
    </row>
    <row customHeight="1" ht="11.25">
      <c r="A47" s="1855" t="s">
        <v>2391</v>
      </c>
      <c r="B47" s="1855" t="s">
        <v>16</v>
      </c>
      <c r="C47" s="1855" t="s">
        <v>2548</v>
      </c>
      <c r="D47" s="1855" t="s">
        <v>2549</v>
      </c>
      <c r="E47" s="1855" t="s">
        <v>2550</v>
      </c>
      <c r="F47" s="1855" t="s">
        <v>2525</v>
      </c>
      <c r="G47" s="1855" t="s">
        <v>22</v>
      </c>
      <c r="H47" s="1855" t="s">
        <v>22</v>
      </c>
      <c r="I47" s="1855" t="s">
        <v>852</v>
      </c>
    </row>
    <row customHeight="1" ht="11.25">
      <c r="A48" s="1855" t="s">
        <v>2391</v>
      </c>
      <c r="B48" s="1855" t="s">
        <v>16</v>
      </c>
      <c r="C48" s="1855" t="s">
        <v>2551</v>
      </c>
      <c r="D48" s="1855" t="s">
        <v>2552</v>
      </c>
      <c r="E48" s="1855" t="s">
        <v>2553</v>
      </c>
      <c r="F48" s="1855" t="s">
        <v>2399</v>
      </c>
      <c r="G48" s="1855" t="s">
        <v>22</v>
      </c>
      <c r="H48" s="1855" t="s">
        <v>22</v>
      </c>
      <c r="I48" s="1855" t="s">
        <v>852</v>
      </c>
    </row>
    <row customHeight="1" ht="11.25">
      <c r="A49" s="1855" t="s">
        <v>2391</v>
      </c>
      <c r="B49" s="1855" t="s">
        <v>16</v>
      </c>
      <c r="C49" s="1855" t="s">
        <v>2554</v>
      </c>
      <c r="D49" s="1855" t="s">
        <v>2555</v>
      </c>
      <c r="E49" s="1855" t="s">
        <v>2556</v>
      </c>
      <c r="F49" s="1855" t="s">
        <v>2525</v>
      </c>
      <c r="G49" s="1855" t="s">
        <v>22</v>
      </c>
      <c r="H49" s="1855" t="s">
        <v>22</v>
      </c>
      <c r="I49" s="1855" t="s">
        <v>852</v>
      </c>
    </row>
    <row customHeight="1" ht="11.25">
      <c r="A50" s="1855" t="s">
        <v>2391</v>
      </c>
      <c r="B50" s="1855" t="s">
        <v>16</v>
      </c>
      <c r="C50" s="1855" t="s">
        <v>2557</v>
      </c>
      <c r="D50" s="1855" t="s">
        <v>2558</v>
      </c>
      <c r="E50" s="1855" t="s">
        <v>2559</v>
      </c>
      <c r="F50" s="1855" t="s">
        <v>2423</v>
      </c>
      <c r="G50" s="1855" t="s">
        <v>22</v>
      </c>
      <c r="H50" s="1855" t="s">
        <v>22</v>
      </c>
      <c r="I50" s="1855" t="s">
        <v>852</v>
      </c>
    </row>
    <row customHeight="1" ht="11.25">
      <c r="A51" s="1855" t="s">
        <v>2391</v>
      </c>
      <c r="B51" s="1855" t="s">
        <v>16</v>
      </c>
      <c r="C51" s="1855" t="s">
        <v>2560</v>
      </c>
      <c r="D51" s="1855" t="s">
        <v>2561</v>
      </c>
      <c r="E51" s="1855" t="s">
        <v>2562</v>
      </c>
      <c r="F51" s="1855" t="s">
        <v>2399</v>
      </c>
      <c r="G51" s="1855" t="s">
        <v>22</v>
      </c>
      <c r="H51" s="1855" t="s">
        <v>22</v>
      </c>
      <c r="I51" s="1855" t="s">
        <v>852</v>
      </c>
    </row>
    <row customHeight="1" ht="11.25">
      <c r="A52" s="1855" t="s">
        <v>2391</v>
      </c>
      <c r="B52" s="1855" t="s">
        <v>16</v>
      </c>
      <c r="C52" s="1855" t="s">
        <v>2563</v>
      </c>
      <c r="D52" s="1855" t="s">
        <v>2564</v>
      </c>
      <c r="E52" s="1855" t="s">
        <v>2565</v>
      </c>
      <c r="F52" s="1855" t="s">
        <v>2399</v>
      </c>
      <c r="G52" s="1855" t="s">
        <v>22</v>
      </c>
      <c r="H52" s="1855" t="s">
        <v>22</v>
      </c>
      <c r="I52" s="1855" t="s">
        <v>852</v>
      </c>
    </row>
    <row customHeight="1" ht="11.25">
      <c r="A53" s="1855" t="s">
        <v>2391</v>
      </c>
      <c r="B53" s="1855" t="s">
        <v>16</v>
      </c>
      <c r="C53" s="1855" t="s">
        <v>2566</v>
      </c>
      <c r="D53" s="1855" t="s">
        <v>2567</v>
      </c>
      <c r="E53" s="1855" t="s">
        <v>2568</v>
      </c>
      <c r="F53" s="1855" t="s">
        <v>2486</v>
      </c>
      <c r="G53" s="1855" t="s">
        <v>22</v>
      </c>
      <c r="H53" s="1855" t="s">
        <v>22</v>
      </c>
      <c r="I53" s="1855" t="s">
        <v>852</v>
      </c>
    </row>
    <row customHeight="1" ht="11.25">
      <c r="A54" s="1855" t="s">
        <v>2391</v>
      </c>
      <c r="B54" s="1855" t="s">
        <v>16</v>
      </c>
      <c r="C54" s="1855" t="s">
        <v>2569</v>
      </c>
      <c r="D54" s="1855" t="s">
        <v>2570</v>
      </c>
      <c r="E54" s="1855" t="s">
        <v>2571</v>
      </c>
      <c r="F54" s="1855" t="s">
        <v>2399</v>
      </c>
      <c r="G54" s="1855" t="s">
        <v>22</v>
      </c>
      <c r="H54" s="1855" t="s">
        <v>22</v>
      </c>
      <c r="I54" s="1855" t="s">
        <v>852</v>
      </c>
    </row>
    <row customHeight="1" ht="11.25">
      <c r="A55" s="1855" t="s">
        <v>2391</v>
      </c>
      <c r="B55" s="1855" t="s">
        <v>16</v>
      </c>
      <c r="C55" s="1855" t="s">
        <v>2572</v>
      </c>
      <c r="D55" s="1855" t="s">
        <v>2573</v>
      </c>
      <c r="E55" s="1855" t="s">
        <v>2574</v>
      </c>
      <c r="F55" s="1855" t="s">
        <v>2403</v>
      </c>
      <c r="G55" s="1855" t="s">
        <v>22</v>
      </c>
      <c r="H55" s="1855" t="s">
        <v>22</v>
      </c>
      <c r="I55" s="1855" t="s">
        <v>852</v>
      </c>
    </row>
    <row customHeight="1" ht="11.25">
      <c r="A56" s="1855" t="s">
        <v>2391</v>
      </c>
      <c r="B56" s="1855" t="s">
        <v>16</v>
      </c>
      <c r="C56" s="1855" t="s">
        <v>2575</v>
      </c>
      <c r="D56" s="1855" t="s">
        <v>2576</v>
      </c>
      <c r="E56" s="1855" t="s">
        <v>2577</v>
      </c>
      <c r="F56" s="1855" t="s">
        <v>2399</v>
      </c>
      <c r="G56" s="1855" t="s">
        <v>22</v>
      </c>
      <c r="H56" s="1855" t="s">
        <v>22</v>
      </c>
      <c r="I56" s="1855" t="s">
        <v>852</v>
      </c>
    </row>
    <row customHeight="1" ht="11.25">
      <c r="A57" s="1855" t="s">
        <v>2391</v>
      </c>
      <c r="B57" s="1855" t="s">
        <v>16</v>
      </c>
      <c r="C57" s="1855" t="s">
        <v>2578</v>
      </c>
      <c r="D57" s="1855" t="s">
        <v>2579</v>
      </c>
      <c r="E57" s="1855" t="s">
        <v>2580</v>
      </c>
      <c r="F57" s="1855" t="s">
        <v>2399</v>
      </c>
      <c r="G57" s="1855" t="s">
        <v>22</v>
      </c>
      <c r="H57" s="1855" t="s">
        <v>22</v>
      </c>
      <c r="I57" s="1855" t="s">
        <v>852</v>
      </c>
    </row>
    <row customHeight="1" ht="11.25">
      <c r="A58" s="1855" t="s">
        <v>2391</v>
      </c>
      <c r="B58" s="1855" t="s">
        <v>16</v>
      </c>
      <c r="C58" s="1855" t="s">
        <v>2581</v>
      </c>
      <c r="D58" s="1855" t="s">
        <v>2582</v>
      </c>
      <c r="E58" s="1855" t="s">
        <v>2583</v>
      </c>
      <c r="F58" s="1855" t="s">
        <v>2399</v>
      </c>
      <c r="G58" s="1855" t="s">
        <v>22</v>
      </c>
      <c r="H58" s="1855" t="s">
        <v>22</v>
      </c>
      <c r="I58" s="1855" t="s">
        <v>852</v>
      </c>
    </row>
    <row customHeight="1" ht="11.25">
      <c r="A59" s="1855" t="s">
        <v>2391</v>
      </c>
      <c r="B59" s="1855" t="s">
        <v>16</v>
      </c>
      <c r="C59" s="1855" t="s">
        <v>2584</v>
      </c>
      <c r="D59" s="1855" t="s">
        <v>2585</v>
      </c>
      <c r="E59" s="1855" t="s">
        <v>2586</v>
      </c>
      <c r="F59" s="1855" t="s">
        <v>2399</v>
      </c>
      <c r="G59" s="1855" t="s">
        <v>22</v>
      </c>
      <c r="H59" s="1855" t="s">
        <v>22</v>
      </c>
      <c r="I59" s="1855" t="s">
        <v>852</v>
      </c>
    </row>
    <row customHeight="1" ht="11.25">
      <c r="A60" s="1855" t="s">
        <v>2391</v>
      </c>
      <c r="B60" s="1855" t="s">
        <v>16</v>
      </c>
      <c r="C60" s="1855" t="s">
        <v>2587</v>
      </c>
      <c r="D60" s="1855" t="s">
        <v>2588</v>
      </c>
      <c r="E60" s="1855" t="s">
        <v>2589</v>
      </c>
      <c r="F60" s="1855" t="s">
        <v>2399</v>
      </c>
      <c r="G60" s="1855" t="s">
        <v>22</v>
      </c>
      <c r="H60" s="1855" t="s">
        <v>22</v>
      </c>
      <c r="I60" s="1855" t="s">
        <v>852</v>
      </c>
    </row>
    <row customHeight="1" ht="11.25">
      <c r="A61" s="1855" t="s">
        <v>2391</v>
      </c>
      <c r="B61" s="1855" t="s">
        <v>16</v>
      </c>
      <c r="C61" s="1855" t="s">
        <v>2590</v>
      </c>
      <c r="D61" s="1855" t="s">
        <v>2591</v>
      </c>
      <c r="E61" s="1855" t="s">
        <v>2592</v>
      </c>
      <c r="F61" s="1855" t="s">
        <v>2486</v>
      </c>
      <c r="G61" s="1855" t="s">
        <v>22</v>
      </c>
      <c r="H61" s="1855" t="s">
        <v>22</v>
      </c>
      <c r="I61" s="1855" t="s">
        <v>852</v>
      </c>
    </row>
    <row customHeight="1" ht="11.25">
      <c r="A62" s="1855" t="s">
        <v>2391</v>
      </c>
      <c r="B62" s="1855" t="s">
        <v>16</v>
      </c>
      <c r="C62" s="1855" t="s">
        <v>2593</v>
      </c>
      <c r="D62" s="1855" t="s">
        <v>2594</v>
      </c>
      <c r="E62" s="1855" t="s">
        <v>2595</v>
      </c>
      <c r="F62" s="1855" t="s">
        <v>2596</v>
      </c>
      <c r="G62" s="1855" t="s">
        <v>22</v>
      </c>
      <c r="H62" s="1855" t="s">
        <v>22</v>
      </c>
      <c r="I62" s="1855" t="s">
        <v>852</v>
      </c>
    </row>
    <row customHeight="1" ht="11.25">
      <c r="A63" s="1855" t="s">
        <v>2391</v>
      </c>
      <c r="B63" s="1855" t="s">
        <v>16</v>
      </c>
      <c r="C63" s="1855" t="s">
        <v>2597</v>
      </c>
      <c r="D63" s="1855" t="s">
        <v>2598</v>
      </c>
      <c r="E63" s="1855" t="s">
        <v>2599</v>
      </c>
      <c r="F63" s="1855" t="s">
        <v>2596</v>
      </c>
      <c r="G63" s="1855" t="s">
        <v>22</v>
      </c>
      <c r="H63" s="1855" t="s">
        <v>22</v>
      </c>
      <c r="I63" s="1855" t="s">
        <v>852</v>
      </c>
    </row>
    <row customHeight="1" ht="11.25">
      <c r="A64" s="1855" t="s">
        <v>2391</v>
      </c>
      <c r="B64" s="1855" t="s">
        <v>16</v>
      </c>
      <c r="C64" s="1855" t="s">
        <v>2600</v>
      </c>
      <c r="D64" s="1855" t="s">
        <v>2601</v>
      </c>
      <c r="E64" s="1855" t="s">
        <v>2602</v>
      </c>
      <c r="F64" s="1855" t="s">
        <v>2399</v>
      </c>
      <c r="G64" s="1855" t="s">
        <v>22</v>
      </c>
      <c r="H64" s="1855" t="s">
        <v>22</v>
      </c>
      <c r="I64" s="1855" t="s">
        <v>852</v>
      </c>
    </row>
    <row customHeight="1" ht="11.25">
      <c r="A65" s="1855" t="s">
        <v>2391</v>
      </c>
      <c r="B65" s="1855" t="s">
        <v>16</v>
      </c>
      <c r="C65" s="1855" t="s">
        <v>2603</v>
      </c>
      <c r="D65" s="1855" t="s">
        <v>2604</v>
      </c>
      <c r="E65" s="1855" t="s">
        <v>2605</v>
      </c>
      <c r="F65" s="1855" t="s">
        <v>2399</v>
      </c>
      <c r="G65" s="1855" t="s">
        <v>2606</v>
      </c>
      <c r="H65" s="1855" t="s">
        <v>22</v>
      </c>
      <c r="I65" s="1855" t="s">
        <v>852</v>
      </c>
    </row>
    <row customHeight="1" ht="11.25">
      <c r="A66" s="1855" t="s">
        <v>2391</v>
      </c>
      <c r="B66" s="1855" t="s">
        <v>16</v>
      </c>
      <c r="C66" s="1855" t="s">
        <v>2607</v>
      </c>
      <c r="D66" s="1855" t="s">
        <v>2608</v>
      </c>
      <c r="E66" s="1855" t="s">
        <v>2609</v>
      </c>
      <c r="F66" s="1855" t="s">
        <v>2399</v>
      </c>
      <c r="G66" s="1855" t="s">
        <v>22</v>
      </c>
      <c r="H66" s="1855" t="s">
        <v>22</v>
      </c>
      <c r="I66" s="1855" t="s">
        <v>852</v>
      </c>
    </row>
    <row customHeight="1" ht="11.25">
      <c r="A67" s="1855" t="s">
        <v>2391</v>
      </c>
      <c r="B67" s="1855" t="s">
        <v>16</v>
      </c>
      <c r="C67" s="1855" t="s">
        <v>2610</v>
      </c>
      <c r="D67" s="1855" t="s">
        <v>2611</v>
      </c>
      <c r="E67" s="1855" t="s">
        <v>2612</v>
      </c>
      <c r="F67" s="1855" t="s">
        <v>2399</v>
      </c>
      <c r="G67" s="1855" t="s">
        <v>22</v>
      </c>
      <c r="H67" s="1855" t="s">
        <v>22</v>
      </c>
      <c r="I67" s="1855" t="s">
        <v>852</v>
      </c>
    </row>
    <row customHeight="1" ht="11.25">
      <c r="A68" s="1855" t="s">
        <v>2391</v>
      </c>
      <c r="B68" s="1855" t="s">
        <v>16</v>
      </c>
      <c r="C68" s="1855" t="s">
        <v>2613</v>
      </c>
      <c r="D68" s="1855" t="s">
        <v>2614</v>
      </c>
      <c r="E68" s="1855" t="s">
        <v>2615</v>
      </c>
      <c r="F68" s="1855" t="s">
        <v>2517</v>
      </c>
      <c r="G68" s="1855" t="s">
        <v>22</v>
      </c>
      <c r="H68" s="1855" t="s">
        <v>22</v>
      </c>
      <c r="I68" s="1855" t="s">
        <v>852</v>
      </c>
    </row>
    <row customHeight="1" ht="11.25">
      <c r="A69" s="1855" t="s">
        <v>2391</v>
      </c>
      <c r="B69" s="1855" t="s">
        <v>16</v>
      </c>
      <c r="C69" s="1855" t="s">
        <v>2616</v>
      </c>
      <c r="D69" s="1855" t="s">
        <v>2617</v>
      </c>
      <c r="E69" s="1855" t="s">
        <v>2618</v>
      </c>
      <c r="F69" s="1855" t="s">
        <v>2619</v>
      </c>
      <c r="G69" s="1855" t="s">
        <v>22</v>
      </c>
      <c r="H69" s="1855" t="s">
        <v>22</v>
      </c>
      <c r="I69" s="1855" t="s">
        <v>852</v>
      </c>
    </row>
    <row customHeight="1" ht="11.25">
      <c r="A70" s="1855" t="s">
        <v>2391</v>
      </c>
      <c r="B70" s="1855" t="s">
        <v>16</v>
      </c>
      <c r="C70" s="1855" t="s">
        <v>2620</v>
      </c>
      <c r="D70" s="1855" t="s">
        <v>2621</v>
      </c>
      <c r="E70" s="1855" t="s">
        <v>2622</v>
      </c>
      <c r="F70" s="1855" t="s">
        <v>2623</v>
      </c>
      <c r="G70" s="1855" t="s">
        <v>2624</v>
      </c>
      <c r="H70" s="1855" t="s">
        <v>22</v>
      </c>
      <c r="I70" s="1855" t="s">
        <v>852</v>
      </c>
    </row>
    <row customHeight="1" ht="11.25">
      <c r="A71" s="1855" t="s">
        <v>2391</v>
      </c>
      <c r="B71" s="1855" t="s">
        <v>16</v>
      </c>
      <c r="C71" s="1855" t="s">
        <v>2625</v>
      </c>
      <c r="D71" s="1855" t="s">
        <v>2626</v>
      </c>
      <c r="E71" s="1855" t="s">
        <v>2627</v>
      </c>
      <c r="F71" s="1855" t="s">
        <v>2623</v>
      </c>
      <c r="G71" s="1855" t="s">
        <v>22</v>
      </c>
      <c r="H71" s="1855" t="s">
        <v>22</v>
      </c>
      <c r="I71" s="1855" t="s">
        <v>852</v>
      </c>
    </row>
    <row customHeight="1" ht="11.25">
      <c r="A72" s="1855" t="s">
        <v>2391</v>
      </c>
      <c r="B72" s="1855" t="s">
        <v>16</v>
      </c>
      <c r="C72" s="1855" t="s">
        <v>2628</v>
      </c>
      <c r="D72" s="1855" t="s">
        <v>2629</v>
      </c>
      <c r="E72" s="1855" t="s">
        <v>2630</v>
      </c>
      <c r="F72" s="1855" t="s">
        <v>2619</v>
      </c>
      <c r="G72" s="1855" t="s">
        <v>22</v>
      </c>
      <c r="H72" s="1855" t="s">
        <v>22</v>
      </c>
      <c r="I72" s="1855" t="s">
        <v>852</v>
      </c>
    </row>
    <row customHeight="1" ht="11.25">
      <c r="A73" s="1855" t="s">
        <v>2391</v>
      </c>
      <c r="B73" s="1855" t="s">
        <v>16</v>
      </c>
      <c r="C73" s="1855" t="s">
        <v>2631</v>
      </c>
      <c r="D73" s="1855" t="s">
        <v>2632</v>
      </c>
      <c r="E73" s="1855" t="s">
        <v>2633</v>
      </c>
      <c r="F73" s="1855" t="s">
        <v>2399</v>
      </c>
      <c r="G73" s="1855" t="s">
        <v>22</v>
      </c>
      <c r="H73" s="1855" t="s">
        <v>22</v>
      </c>
      <c r="I73" s="1855" t="s">
        <v>852</v>
      </c>
    </row>
    <row customHeight="1" ht="11.25">
      <c r="A74" s="1855" t="s">
        <v>2391</v>
      </c>
      <c r="B74" s="1855" t="s">
        <v>16</v>
      </c>
      <c r="C74" s="1855" t="s">
        <v>2634</v>
      </c>
      <c r="D74" s="1855" t="s">
        <v>2635</v>
      </c>
      <c r="E74" s="1855" t="s">
        <v>2636</v>
      </c>
      <c r="F74" s="1855" t="s">
        <v>2427</v>
      </c>
      <c r="G74" s="1855" t="s">
        <v>22</v>
      </c>
      <c r="H74" s="1855" t="s">
        <v>22</v>
      </c>
      <c r="I74" s="1855" t="s">
        <v>852</v>
      </c>
    </row>
    <row customHeight="1" ht="11.25">
      <c r="A75" s="1855" t="s">
        <v>2391</v>
      </c>
      <c r="B75" s="1855" t="s">
        <v>16</v>
      </c>
      <c r="C75" s="1855" t="s">
        <v>2637</v>
      </c>
      <c r="D75" s="1855" t="s">
        <v>2638</v>
      </c>
      <c r="E75" s="1855" t="s">
        <v>2639</v>
      </c>
      <c r="F75" s="1855" t="s">
        <v>2427</v>
      </c>
      <c r="G75" s="1855" t="s">
        <v>2640</v>
      </c>
      <c r="H75" s="1855" t="s">
        <v>22</v>
      </c>
      <c r="I75" s="1855" t="s">
        <v>852</v>
      </c>
    </row>
    <row customHeight="1" ht="11.25">
      <c r="A76" s="1855" t="s">
        <v>2391</v>
      </c>
      <c r="B76" s="1855" t="s">
        <v>16</v>
      </c>
      <c r="C76" s="1855" t="s">
        <v>2641</v>
      </c>
      <c r="D76" s="1855" t="s">
        <v>2642</v>
      </c>
      <c r="E76" s="1855" t="s">
        <v>2643</v>
      </c>
      <c r="F76" s="1855" t="s">
        <v>2399</v>
      </c>
      <c r="G76" s="1855" t="s">
        <v>22</v>
      </c>
      <c r="H76" s="1855" t="s">
        <v>22</v>
      </c>
      <c r="I76" s="1855" t="s">
        <v>852</v>
      </c>
    </row>
    <row customHeight="1" ht="11.25">
      <c r="A77" s="1855" t="s">
        <v>2391</v>
      </c>
      <c r="B77" s="1855" t="s">
        <v>16</v>
      </c>
      <c r="C77" s="1855" t="s">
        <v>2644</v>
      </c>
      <c r="D77" s="1855" t="s">
        <v>2645</v>
      </c>
      <c r="E77" s="1855" t="s">
        <v>2646</v>
      </c>
      <c r="F77" s="1855" t="s">
        <v>2399</v>
      </c>
      <c r="G77" s="1855" t="s">
        <v>22</v>
      </c>
      <c r="H77" s="1855" t="s">
        <v>22</v>
      </c>
      <c r="I77" s="1855" t="s">
        <v>852</v>
      </c>
    </row>
    <row customHeight="1" ht="11.25">
      <c r="A78" s="1855" t="s">
        <v>2391</v>
      </c>
      <c r="B78" s="1855" t="s">
        <v>16</v>
      </c>
      <c r="C78" s="1855" t="s">
        <v>2647</v>
      </c>
      <c r="D78" s="1855" t="s">
        <v>2648</v>
      </c>
      <c r="E78" s="1855" t="s">
        <v>2649</v>
      </c>
      <c r="F78" s="1855" t="s">
        <v>2399</v>
      </c>
      <c r="G78" s="1855" t="s">
        <v>22</v>
      </c>
      <c r="H78" s="1855" t="s">
        <v>22</v>
      </c>
      <c r="I78" s="1855" t="s">
        <v>852</v>
      </c>
    </row>
    <row customHeight="1" ht="11.25">
      <c r="A79" s="1855" t="s">
        <v>2391</v>
      </c>
      <c r="B79" s="1855" t="s">
        <v>16</v>
      </c>
      <c r="C79" s="1855" t="s">
        <v>2650</v>
      </c>
      <c r="D79" s="1855" t="s">
        <v>2651</v>
      </c>
      <c r="E79" s="1855" t="s">
        <v>2652</v>
      </c>
      <c r="F79" s="1855" t="s">
        <v>2493</v>
      </c>
      <c r="G79" s="1855" t="s">
        <v>2653</v>
      </c>
      <c r="H79" s="1855" t="s">
        <v>22</v>
      </c>
      <c r="I79" s="1855" t="s">
        <v>852</v>
      </c>
    </row>
    <row customHeight="1" ht="11.25">
      <c r="A80" s="1855" t="s">
        <v>2391</v>
      </c>
      <c r="B80" s="1855" t="s">
        <v>16</v>
      </c>
      <c r="C80" s="1855" t="s">
        <v>2654</v>
      </c>
      <c r="D80" s="1855" t="s">
        <v>2655</v>
      </c>
      <c r="E80" s="1855" t="s">
        <v>2656</v>
      </c>
      <c r="F80" s="1855" t="s">
        <v>2399</v>
      </c>
      <c r="G80" s="1855" t="s">
        <v>22</v>
      </c>
      <c r="H80" s="1855" t="s">
        <v>22</v>
      </c>
      <c r="I80" s="1855" t="s">
        <v>852</v>
      </c>
    </row>
    <row customHeight="1" ht="11.25">
      <c r="A81" s="1855" t="s">
        <v>2391</v>
      </c>
      <c r="B81" s="1855" t="s">
        <v>16</v>
      </c>
      <c r="C81" s="1855" t="s">
        <v>2657</v>
      </c>
      <c r="D81" s="1855" t="s">
        <v>2658</v>
      </c>
      <c r="E81" s="1855" t="s">
        <v>2659</v>
      </c>
      <c r="F81" s="1855" t="s">
        <v>2660</v>
      </c>
      <c r="G81" s="1855" t="s">
        <v>22</v>
      </c>
      <c r="H81" s="1855" t="s">
        <v>22</v>
      </c>
      <c r="I81" s="1855" t="s">
        <v>852</v>
      </c>
    </row>
    <row customHeight="1" ht="11.25">
      <c r="A82" s="1855" t="s">
        <v>2391</v>
      </c>
      <c r="B82" s="1855" t="s">
        <v>16</v>
      </c>
      <c r="C82" s="1855" t="s">
        <v>2661</v>
      </c>
      <c r="D82" s="1855" t="s">
        <v>2662</v>
      </c>
      <c r="E82" s="1855" t="s">
        <v>2663</v>
      </c>
      <c r="F82" s="1855" t="s">
        <v>2497</v>
      </c>
      <c r="G82" s="1855" t="s">
        <v>22</v>
      </c>
      <c r="H82" s="1855" t="s">
        <v>22</v>
      </c>
      <c r="I82" s="1855" t="s">
        <v>852</v>
      </c>
    </row>
    <row customHeight="1" ht="11.25">
      <c r="A83" s="1855" t="s">
        <v>2391</v>
      </c>
      <c r="B83" s="1855" t="s">
        <v>16</v>
      </c>
      <c r="C83" s="1855" t="s">
        <v>2664</v>
      </c>
      <c r="D83" s="1855" t="s">
        <v>2665</v>
      </c>
      <c r="E83" s="1855" t="s">
        <v>2666</v>
      </c>
      <c r="F83" s="1855" t="s">
        <v>2667</v>
      </c>
      <c r="G83" s="1855" t="s">
        <v>22</v>
      </c>
      <c r="H83" s="1855" t="s">
        <v>22</v>
      </c>
      <c r="I83" s="1855" t="s">
        <v>852</v>
      </c>
    </row>
    <row customHeight="1" ht="11.25">
      <c r="A84" s="1855" t="s">
        <v>2391</v>
      </c>
      <c r="B84" s="1855" t="s">
        <v>16</v>
      </c>
      <c r="C84" s="1855" t="s">
        <v>2668</v>
      </c>
      <c r="D84" s="1855" t="s">
        <v>2669</v>
      </c>
      <c r="E84" s="1855" t="s">
        <v>2670</v>
      </c>
      <c r="F84" s="1855" t="s">
        <v>2619</v>
      </c>
      <c r="G84" s="1855" t="s">
        <v>22</v>
      </c>
      <c r="H84" s="1855" t="s">
        <v>22</v>
      </c>
      <c r="I84" s="1855" t="s">
        <v>852</v>
      </c>
    </row>
    <row customHeight="1" ht="11.25">
      <c r="A85" s="1855" t="s">
        <v>2391</v>
      </c>
      <c r="B85" s="1855" t="s">
        <v>16</v>
      </c>
      <c r="C85" s="1855" t="s">
        <v>2671</v>
      </c>
      <c r="D85" s="1855" t="s">
        <v>2672</v>
      </c>
      <c r="E85" s="1855" t="s">
        <v>2673</v>
      </c>
      <c r="F85" s="1855" t="s">
        <v>2399</v>
      </c>
      <c r="G85" s="1855" t="s">
        <v>2674</v>
      </c>
      <c r="H85" s="1855" t="s">
        <v>22</v>
      </c>
      <c r="I85" s="1855" t="s">
        <v>852</v>
      </c>
    </row>
    <row customHeight="1" ht="11.25">
      <c r="A86" s="1855" t="s">
        <v>2391</v>
      </c>
      <c r="B86" s="1855" t="s">
        <v>16</v>
      </c>
      <c r="C86" s="1855" t="s">
        <v>2675</v>
      </c>
      <c r="D86" s="1855" t="s">
        <v>2676</v>
      </c>
      <c r="E86" s="1855" t="s">
        <v>2677</v>
      </c>
      <c r="F86" s="1855" t="s">
        <v>2596</v>
      </c>
      <c r="G86" s="1855" t="s">
        <v>22</v>
      </c>
      <c r="H86" s="1855" t="s">
        <v>22</v>
      </c>
      <c r="I86" s="1855" t="s">
        <v>852</v>
      </c>
    </row>
    <row customHeight="1" ht="11.25">
      <c r="A87" s="1855" t="s">
        <v>2391</v>
      </c>
      <c r="B87" s="1855" t="s">
        <v>16</v>
      </c>
      <c r="C87" s="1855" t="s">
        <v>2678</v>
      </c>
      <c r="D87" s="1855" t="s">
        <v>2679</v>
      </c>
      <c r="E87" s="1855" t="s">
        <v>2680</v>
      </c>
      <c r="F87" s="1855" t="s">
        <v>2399</v>
      </c>
      <c r="G87" s="1855" t="s">
        <v>22</v>
      </c>
      <c r="H87" s="1855" t="s">
        <v>22</v>
      </c>
      <c r="I87" s="1855" t="s">
        <v>852</v>
      </c>
    </row>
    <row customHeight="1" ht="11.25">
      <c r="A88" s="1855" t="s">
        <v>2391</v>
      </c>
      <c r="B88" s="1855" t="s">
        <v>16</v>
      </c>
      <c r="C88" s="1855" t="s">
        <v>2681</v>
      </c>
      <c r="D88" s="1855" t="s">
        <v>2682</v>
      </c>
      <c r="E88" s="1855" t="s">
        <v>2683</v>
      </c>
      <c r="F88" s="1855" t="s">
        <v>2660</v>
      </c>
      <c r="G88" s="1855" t="s">
        <v>22</v>
      </c>
      <c r="H88" s="1855" t="s">
        <v>22</v>
      </c>
      <c r="I88" s="1855" t="s">
        <v>852</v>
      </c>
    </row>
    <row customHeight="1" ht="11.25">
      <c r="A89" s="1855" t="s">
        <v>2391</v>
      </c>
      <c r="B89" s="1855" t="s">
        <v>16</v>
      </c>
      <c r="C89" s="1855" t="s">
        <v>2684</v>
      </c>
      <c r="D89" s="1855" t="s">
        <v>2685</v>
      </c>
      <c r="E89" s="1855" t="s">
        <v>2686</v>
      </c>
      <c r="F89" s="1855" t="s">
        <v>2423</v>
      </c>
      <c r="G89" s="1855" t="s">
        <v>2687</v>
      </c>
      <c r="H89" s="1855" t="s">
        <v>22</v>
      </c>
      <c r="I89" s="1855" t="s">
        <v>852</v>
      </c>
    </row>
    <row customHeight="1" ht="11.25">
      <c r="A90" s="1855" t="s">
        <v>2391</v>
      </c>
      <c r="B90" s="1855" t="s">
        <v>16</v>
      </c>
      <c r="C90" s="1855" t="s">
        <v>2688</v>
      </c>
      <c r="D90" s="1855" t="s">
        <v>2689</v>
      </c>
      <c r="E90" s="1855" t="s">
        <v>2690</v>
      </c>
      <c r="F90" s="1855" t="s">
        <v>2399</v>
      </c>
      <c r="G90" s="1855" t="s">
        <v>2691</v>
      </c>
      <c r="H90" s="1855" t="s">
        <v>22</v>
      </c>
      <c r="I90" s="1855" t="s">
        <v>852</v>
      </c>
    </row>
    <row customHeight="1" ht="11.25">
      <c r="A91" s="1855" t="s">
        <v>2391</v>
      </c>
      <c r="B91" s="1855" t="s">
        <v>16</v>
      </c>
      <c r="C91" s="1855" t="s">
        <v>2692</v>
      </c>
      <c r="D91" s="1855" t="s">
        <v>2693</v>
      </c>
      <c r="E91" s="1855" t="s">
        <v>2694</v>
      </c>
      <c r="F91" s="1855" t="s">
        <v>2427</v>
      </c>
      <c r="G91" s="1855" t="s">
        <v>22</v>
      </c>
      <c r="H91" s="1855" t="s">
        <v>22</v>
      </c>
      <c r="I91" s="1855" t="s">
        <v>852</v>
      </c>
    </row>
    <row customHeight="1" ht="11.25">
      <c r="A92" s="1855" t="s">
        <v>2391</v>
      </c>
      <c r="B92" s="1855" t="s">
        <v>16</v>
      </c>
      <c r="C92" s="1855" t="s">
        <v>2695</v>
      </c>
      <c r="D92" s="1855" t="s">
        <v>2696</v>
      </c>
      <c r="E92" s="1855" t="s">
        <v>2697</v>
      </c>
      <c r="F92" s="1855" t="s">
        <v>2698</v>
      </c>
      <c r="G92" s="1855" t="s">
        <v>22</v>
      </c>
      <c r="H92" s="1855" t="s">
        <v>22</v>
      </c>
      <c r="I92" s="1855" t="s">
        <v>852</v>
      </c>
    </row>
    <row customHeight="1" ht="11.25">
      <c r="A93" s="1855" t="s">
        <v>2391</v>
      </c>
      <c r="B93" s="1855" t="s">
        <v>16</v>
      </c>
      <c r="C93" s="1855" t="s">
        <v>2699</v>
      </c>
      <c r="D93" s="1855" t="s">
        <v>2700</v>
      </c>
      <c r="E93" s="1855" t="s">
        <v>2701</v>
      </c>
      <c r="F93" s="1855" t="s">
        <v>2403</v>
      </c>
      <c r="G93" s="1855" t="s">
        <v>22</v>
      </c>
      <c r="H93" s="1855" t="s">
        <v>22</v>
      </c>
      <c r="I93" s="1855" t="s">
        <v>852</v>
      </c>
    </row>
    <row customHeight="1" ht="11.25">
      <c r="A94" s="1855" t="s">
        <v>2391</v>
      </c>
      <c r="B94" s="1855" t="s">
        <v>16</v>
      </c>
      <c r="C94" s="1855" t="s">
        <v>2702</v>
      </c>
      <c r="D94" s="1855" t="s">
        <v>2703</v>
      </c>
      <c r="E94" s="1855" t="s">
        <v>2704</v>
      </c>
      <c r="F94" s="1855" t="s">
        <v>2525</v>
      </c>
      <c r="G94" s="1855" t="s">
        <v>2705</v>
      </c>
      <c r="H94" s="1855" t="s">
        <v>22</v>
      </c>
      <c r="I94" s="1855" t="s">
        <v>852</v>
      </c>
    </row>
    <row customHeight="1" ht="11.25">
      <c r="A95" s="1855" t="s">
        <v>2391</v>
      </c>
      <c r="B95" s="1855" t="s">
        <v>16</v>
      </c>
      <c r="C95" s="1855" t="s">
        <v>2706</v>
      </c>
      <c r="D95" s="1855" t="s">
        <v>2707</v>
      </c>
      <c r="E95" s="1855" t="s">
        <v>2708</v>
      </c>
      <c r="F95" s="1855" t="s">
        <v>2709</v>
      </c>
      <c r="G95" s="1855" t="s">
        <v>22</v>
      </c>
      <c r="H95" s="1855" t="s">
        <v>22</v>
      </c>
      <c r="I95" s="1855" t="s">
        <v>852</v>
      </c>
    </row>
    <row customHeight="1" ht="11.25">
      <c r="A96" s="1855" t="s">
        <v>2391</v>
      </c>
      <c r="B96" s="1855" t="s">
        <v>16</v>
      </c>
      <c r="C96" s="1855" t="s">
        <v>2710</v>
      </c>
      <c r="D96" s="1855" t="s">
        <v>2711</v>
      </c>
      <c r="E96" s="1855" t="s">
        <v>2712</v>
      </c>
      <c r="F96" s="1855" t="s">
        <v>2403</v>
      </c>
      <c r="G96" s="1855" t="s">
        <v>2713</v>
      </c>
      <c r="H96" s="1855" t="s">
        <v>22</v>
      </c>
      <c r="I96" s="1855" t="s">
        <v>852</v>
      </c>
    </row>
    <row customHeight="1" ht="11.25">
      <c r="A97" s="1855" t="s">
        <v>2391</v>
      </c>
      <c r="B97" s="1855" t="s">
        <v>16</v>
      </c>
      <c r="C97" s="1855" t="s">
        <v>2714</v>
      </c>
      <c r="D97" s="1855" t="s">
        <v>2715</v>
      </c>
      <c r="E97" s="1855" t="s">
        <v>2716</v>
      </c>
      <c r="F97" s="1855" t="s">
        <v>2431</v>
      </c>
      <c r="G97" s="1855" t="s">
        <v>22</v>
      </c>
      <c r="H97" s="1855" t="s">
        <v>22</v>
      </c>
      <c r="I97" s="1855" t="s">
        <v>852</v>
      </c>
    </row>
    <row customHeight="1" ht="11.25">
      <c r="A98" s="1855" t="s">
        <v>2391</v>
      </c>
      <c r="B98" s="1855" t="s">
        <v>16</v>
      </c>
      <c r="C98" s="1855" t="s">
        <v>2717</v>
      </c>
      <c r="D98" s="1855" t="s">
        <v>2718</v>
      </c>
      <c r="E98" s="1855" t="s">
        <v>2719</v>
      </c>
      <c r="F98" s="1855" t="s">
        <v>2399</v>
      </c>
      <c r="G98" s="1855" t="s">
        <v>22</v>
      </c>
      <c r="H98" s="1855" t="s">
        <v>22</v>
      </c>
      <c r="I98" s="1855" t="s">
        <v>852</v>
      </c>
    </row>
    <row customHeight="1" ht="11.25">
      <c r="A99" s="1855" t="s">
        <v>2391</v>
      </c>
      <c r="B99" s="1855" t="s">
        <v>16</v>
      </c>
      <c r="C99" s="1855" t="s">
        <v>2720</v>
      </c>
      <c r="D99" s="1855" t="s">
        <v>2721</v>
      </c>
      <c r="E99" s="1855" t="s">
        <v>2722</v>
      </c>
      <c r="F99" s="1855" t="s">
        <v>2427</v>
      </c>
      <c r="G99" s="1855" t="s">
        <v>22</v>
      </c>
      <c r="H99" s="1855" t="s">
        <v>22</v>
      </c>
      <c r="I99" s="1855" t="s">
        <v>852</v>
      </c>
    </row>
    <row customHeight="1" ht="11.25">
      <c r="A100" s="1855" t="s">
        <v>2391</v>
      </c>
      <c r="B100" s="1855" t="s">
        <v>16</v>
      </c>
      <c r="C100" s="1855" t="s">
        <v>2723</v>
      </c>
      <c r="D100" s="1855" t="s">
        <v>2724</v>
      </c>
      <c r="E100" s="1855" t="s">
        <v>2725</v>
      </c>
      <c r="F100" s="1855" t="s">
        <v>2486</v>
      </c>
      <c r="G100" s="1855" t="s">
        <v>22</v>
      </c>
      <c r="H100" s="1855" t="s">
        <v>22</v>
      </c>
      <c r="I100" s="1855" t="s">
        <v>852</v>
      </c>
    </row>
    <row customHeight="1" ht="11.25">
      <c r="A101" s="1855" t="s">
        <v>2391</v>
      </c>
      <c r="B101" s="1855" t="s">
        <v>16</v>
      </c>
      <c r="C101" s="1855" t="s">
        <v>2726</v>
      </c>
      <c r="D101" s="1855" t="s">
        <v>2727</v>
      </c>
      <c r="E101" s="1855" t="s">
        <v>2728</v>
      </c>
      <c r="F101" s="1855" t="s">
        <v>2486</v>
      </c>
      <c r="G101" s="1855" t="s">
        <v>22</v>
      </c>
      <c r="H101" s="1855" t="s">
        <v>22</v>
      </c>
      <c r="I101" s="1855" t="s">
        <v>852</v>
      </c>
    </row>
    <row customHeight="1" ht="11.25">
      <c r="A102" s="1855" t="s">
        <v>2391</v>
      </c>
      <c r="B102" s="1855" t="s">
        <v>16</v>
      </c>
      <c r="C102" s="1855" t="s">
        <v>2729</v>
      </c>
      <c r="D102" s="1855" t="s">
        <v>2730</v>
      </c>
      <c r="E102" s="1855" t="s">
        <v>2731</v>
      </c>
      <c r="F102" s="1855" t="s">
        <v>2475</v>
      </c>
      <c r="G102" s="1855" t="s">
        <v>22</v>
      </c>
      <c r="H102" s="1855" t="s">
        <v>22</v>
      </c>
      <c r="I102" s="1855" t="s">
        <v>852</v>
      </c>
    </row>
    <row customHeight="1" ht="11.25">
      <c r="A103" s="1855" t="s">
        <v>2391</v>
      </c>
      <c r="B103" s="1855" t="s">
        <v>16</v>
      </c>
      <c r="C103" s="1855" t="s">
        <v>2732</v>
      </c>
      <c r="D103" s="1855" t="s">
        <v>2733</v>
      </c>
      <c r="E103" s="1855" t="s">
        <v>2734</v>
      </c>
      <c r="F103" s="1855" t="s">
        <v>2735</v>
      </c>
      <c r="G103" s="1855" t="s">
        <v>22</v>
      </c>
      <c r="H103" s="1855" t="s">
        <v>22</v>
      </c>
      <c r="I103" s="1855" t="s">
        <v>852</v>
      </c>
    </row>
    <row customHeight="1" ht="11.25">
      <c r="A104" s="1855" t="s">
        <v>2391</v>
      </c>
      <c r="B104" s="1855" t="s">
        <v>16</v>
      </c>
      <c r="C104" s="1855" t="s">
        <v>2736</v>
      </c>
      <c r="D104" s="1855" t="s">
        <v>2737</v>
      </c>
      <c r="E104" s="1855" t="s">
        <v>2738</v>
      </c>
      <c r="F104" s="1855" t="s">
        <v>2735</v>
      </c>
      <c r="G104" s="1855" t="s">
        <v>22</v>
      </c>
      <c r="H104" s="1855" t="s">
        <v>22</v>
      </c>
      <c r="I104" s="1855" t="s">
        <v>852</v>
      </c>
    </row>
    <row customHeight="1" ht="11.25">
      <c r="A105" s="1855" t="s">
        <v>2391</v>
      </c>
      <c r="B105" s="1855" t="s">
        <v>16</v>
      </c>
      <c r="C105" s="1855" t="s">
        <v>2739</v>
      </c>
      <c r="D105" s="1855" t="s">
        <v>2740</v>
      </c>
      <c r="E105" s="1855" t="s">
        <v>2741</v>
      </c>
      <c r="F105" s="1855" t="s">
        <v>2427</v>
      </c>
      <c r="G105" s="1855" t="s">
        <v>22</v>
      </c>
      <c r="H105" s="1855" t="s">
        <v>22</v>
      </c>
      <c r="I105" s="1855" t="s">
        <v>852</v>
      </c>
    </row>
    <row customHeight="1" ht="11.25">
      <c r="A106" s="1855" t="s">
        <v>2391</v>
      </c>
      <c r="B106" s="1855" t="s">
        <v>16</v>
      </c>
      <c r="C106" s="1855" t="s">
        <v>2742</v>
      </c>
      <c r="D106" s="1855" t="s">
        <v>2740</v>
      </c>
      <c r="E106" s="1855" t="s">
        <v>2743</v>
      </c>
      <c r="F106" s="1855" t="s">
        <v>2735</v>
      </c>
      <c r="G106" s="1855" t="s">
        <v>22</v>
      </c>
      <c r="H106" s="1855" t="s">
        <v>22</v>
      </c>
      <c r="I106" s="1855" t="s">
        <v>852</v>
      </c>
    </row>
    <row customHeight="1" ht="11.25">
      <c r="A107" s="1855" t="s">
        <v>2391</v>
      </c>
      <c r="B107" s="1855" t="s">
        <v>16</v>
      </c>
      <c r="C107" s="1855" t="s">
        <v>2744</v>
      </c>
      <c r="D107" s="1855" t="s">
        <v>2745</v>
      </c>
      <c r="E107" s="1855" t="s">
        <v>2746</v>
      </c>
      <c r="F107" s="1855" t="s">
        <v>2399</v>
      </c>
      <c r="G107" s="1855" t="s">
        <v>22</v>
      </c>
      <c r="H107" s="1855" t="s">
        <v>22</v>
      </c>
      <c r="I107" s="1855" t="s">
        <v>852</v>
      </c>
    </row>
    <row customHeight="1" ht="11.25">
      <c r="A108" s="1855" t="s">
        <v>2391</v>
      </c>
      <c r="B108" s="1855" t="s">
        <v>16</v>
      </c>
      <c r="C108" s="1855" t="s">
        <v>2747</v>
      </c>
      <c r="D108" s="1855" t="s">
        <v>2748</v>
      </c>
      <c r="E108" s="1855" t="s">
        <v>2749</v>
      </c>
      <c r="F108" s="1855" t="s">
        <v>2525</v>
      </c>
      <c r="G108" s="1855" t="s">
        <v>22</v>
      </c>
      <c r="H108" s="1855" t="s">
        <v>22</v>
      </c>
      <c r="I108" s="1855" t="s">
        <v>852</v>
      </c>
    </row>
    <row customHeight="1" ht="11.25">
      <c r="A109" s="1855" t="s">
        <v>2391</v>
      </c>
      <c r="B109" s="1855" t="s">
        <v>16</v>
      </c>
      <c r="C109" s="1855" t="s">
        <v>2750</v>
      </c>
      <c r="D109" s="1855" t="s">
        <v>2751</v>
      </c>
      <c r="E109" s="1855" t="s">
        <v>2752</v>
      </c>
      <c r="F109" s="1855" t="s">
        <v>2399</v>
      </c>
      <c r="G109" s="1855" t="s">
        <v>22</v>
      </c>
      <c r="H109" s="1855" t="s">
        <v>22</v>
      </c>
      <c r="I109" s="1855" t="s">
        <v>852</v>
      </c>
    </row>
    <row customHeight="1" ht="11.25">
      <c r="A110" s="1855" t="s">
        <v>2391</v>
      </c>
      <c r="B110" s="1855" t="s">
        <v>16</v>
      </c>
      <c r="C110" s="1855" t="s">
        <v>2753</v>
      </c>
      <c r="D110" s="1855" t="s">
        <v>2754</v>
      </c>
      <c r="E110" s="1855" t="s">
        <v>2755</v>
      </c>
      <c r="F110" s="1855" t="s">
        <v>2399</v>
      </c>
      <c r="G110" s="1855" t="s">
        <v>2756</v>
      </c>
      <c r="H110" s="1855" t="s">
        <v>22</v>
      </c>
      <c r="I110" s="1855" t="s">
        <v>852</v>
      </c>
    </row>
    <row customHeight="1" ht="11.25">
      <c r="A111" s="1855" t="s">
        <v>2391</v>
      </c>
      <c r="B111" s="1855" t="s">
        <v>16</v>
      </c>
      <c r="C111" s="1855" t="s">
        <v>2757</v>
      </c>
      <c r="D111" s="1855" t="s">
        <v>2758</v>
      </c>
      <c r="E111" s="1855" t="s">
        <v>2759</v>
      </c>
      <c r="F111" s="1855" t="s">
        <v>2399</v>
      </c>
      <c r="G111" s="1855" t="s">
        <v>22</v>
      </c>
      <c r="H111" s="1855" t="s">
        <v>22</v>
      </c>
      <c r="I111" s="1855" t="s">
        <v>852</v>
      </c>
    </row>
    <row customHeight="1" ht="11.25">
      <c r="A112" s="1855" t="s">
        <v>2391</v>
      </c>
      <c r="B112" s="1855" t="s">
        <v>16</v>
      </c>
      <c r="C112" s="1855" t="s">
        <v>2760</v>
      </c>
      <c r="D112" s="1855" t="s">
        <v>2761</v>
      </c>
      <c r="E112" s="1855" t="s">
        <v>2762</v>
      </c>
      <c r="F112" s="1855" t="s">
        <v>2399</v>
      </c>
      <c r="G112" s="1855" t="s">
        <v>22</v>
      </c>
      <c r="H112" s="1855" t="s">
        <v>22</v>
      </c>
      <c r="I112" s="1855" t="s">
        <v>852</v>
      </c>
    </row>
    <row customHeight="1" ht="11.25">
      <c r="A113" s="1855" t="s">
        <v>2391</v>
      </c>
      <c r="B113" s="1855" t="s">
        <v>16</v>
      </c>
      <c r="C113" s="1855" t="s">
        <v>2763</v>
      </c>
      <c r="D113" s="1855" t="s">
        <v>2764</v>
      </c>
      <c r="E113" s="1855" t="s">
        <v>2765</v>
      </c>
      <c r="F113" s="1855" t="s">
        <v>2403</v>
      </c>
      <c r="G113" s="1855" t="s">
        <v>22</v>
      </c>
      <c r="H113" s="1855" t="s">
        <v>22</v>
      </c>
      <c r="I113" s="1855" t="s">
        <v>852</v>
      </c>
    </row>
    <row customHeight="1" ht="11.25">
      <c r="A114" s="1855" t="s">
        <v>2391</v>
      </c>
      <c r="B114" s="1855" t="s">
        <v>16</v>
      </c>
      <c r="C114" s="1855" t="s">
        <v>2766</v>
      </c>
      <c r="D114" s="1855" t="s">
        <v>2767</v>
      </c>
      <c r="E114" s="1855" t="s">
        <v>2768</v>
      </c>
      <c r="F114" s="1855" t="s">
        <v>2769</v>
      </c>
      <c r="G114" s="1855" t="s">
        <v>22</v>
      </c>
      <c r="H114" s="1855" t="s">
        <v>22</v>
      </c>
      <c r="I114" s="1855" t="s">
        <v>852</v>
      </c>
    </row>
    <row customHeight="1" ht="11.25">
      <c r="A115" s="1855" t="s">
        <v>2391</v>
      </c>
      <c r="B115" s="1855" t="s">
        <v>16</v>
      </c>
      <c r="C115" s="1855" t="s">
        <v>2770</v>
      </c>
      <c r="D115" s="1855" t="s">
        <v>2771</v>
      </c>
      <c r="E115" s="1855" t="s">
        <v>2772</v>
      </c>
      <c r="F115" s="1855" t="s">
        <v>2510</v>
      </c>
      <c r="G115" s="1855" t="s">
        <v>22</v>
      </c>
      <c r="H115" s="1855" t="s">
        <v>22</v>
      </c>
      <c r="I115" s="1855" t="s">
        <v>852</v>
      </c>
    </row>
    <row customHeight="1" ht="11.25">
      <c r="A116" s="1855" t="s">
        <v>2391</v>
      </c>
      <c r="B116" s="1855" t="s">
        <v>16</v>
      </c>
      <c r="C116" s="1855" t="s">
        <v>2773</v>
      </c>
      <c r="D116" s="1855" t="s">
        <v>2774</v>
      </c>
      <c r="E116" s="1855" t="s">
        <v>2775</v>
      </c>
      <c r="F116" s="1855" t="s">
        <v>2619</v>
      </c>
      <c r="G116" s="1855" t="s">
        <v>22</v>
      </c>
      <c r="H116" s="1855" t="s">
        <v>22</v>
      </c>
      <c r="I116" s="1855" t="s">
        <v>852</v>
      </c>
    </row>
    <row customHeight="1" ht="11.25">
      <c r="A117" s="1855" t="s">
        <v>2391</v>
      </c>
      <c r="B117" s="1855" t="s">
        <v>16</v>
      </c>
      <c r="C117" s="1855" t="s">
        <v>2776</v>
      </c>
      <c r="D117" s="1855" t="s">
        <v>2777</v>
      </c>
      <c r="E117" s="1855" t="s">
        <v>2778</v>
      </c>
      <c r="F117" s="1855" t="s">
        <v>2779</v>
      </c>
      <c r="G117" s="1855" t="s">
        <v>22</v>
      </c>
      <c r="H117" s="1855" t="s">
        <v>22</v>
      </c>
      <c r="I117" s="1855" t="s">
        <v>852</v>
      </c>
    </row>
    <row customHeight="1" ht="11.25">
      <c r="A118" s="1855" t="s">
        <v>2391</v>
      </c>
      <c r="B118" s="1855" t="s">
        <v>16</v>
      </c>
      <c r="C118" s="1855" t="s">
        <v>2780</v>
      </c>
      <c r="D118" s="1855" t="s">
        <v>2781</v>
      </c>
      <c r="E118" s="1855" t="s">
        <v>2782</v>
      </c>
      <c r="F118" s="1855" t="s">
        <v>2475</v>
      </c>
      <c r="G118" s="1855" t="s">
        <v>22</v>
      </c>
      <c r="H118" s="1855" t="s">
        <v>22</v>
      </c>
      <c r="I118" s="1855" t="s">
        <v>852</v>
      </c>
    </row>
    <row customHeight="1" ht="11.25">
      <c r="A119" s="1855" t="s">
        <v>2391</v>
      </c>
      <c r="B119" s="1855" t="s">
        <v>16</v>
      </c>
      <c r="C119" s="1855" t="s">
        <v>2783</v>
      </c>
      <c r="D119" s="1855" t="s">
        <v>2784</v>
      </c>
      <c r="E119" s="1855" t="s">
        <v>2785</v>
      </c>
      <c r="F119" s="1855" t="s">
        <v>2475</v>
      </c>
      <c r="G119" s="1855" t="s">
        <v>2786</v>
      </c>
      <c r="H119" s="1855" t="s">
        <v>22</v>
      </c>
      <c r="I119" s="1855" t="s">
        <v>852</v>
      </c>
    </row>
    <row customHeight="1" ht="11.25">
      <c r="A120" s="1855" t="s">
        <v>2391</v>
      </c>
      <c r="B120" s="1855" t="s">
        <v>16</v>
      </c>
      <c r="C120" s="1855" t="s">
        <v>2787</v>
      </c>
      <c r="D120" s="1855" t="s">
        <v>2788</v>
      </c>
      <c r="E120" s="1855" t="s">
        <v>2789</v>
      </c>
      <c r="F120" s="1855" t="s">
        <v>2623</v>
      </c>
      <c r="G120" s="1855" t="s">
        <v>22</v>
      </c>
      <c r="H120" s="1855" t="s">
        <v>22</v>
      </c>
      <c r="I120" s="1855" t="s">
        <v>852</v>
      </c>
    </row>
    <row customHeight="1" ht="11.25">
      <c r="A121" s="1855" t="s">
        <v>2391</v>
      </c>
      <c r="B121" s="1855" t="s">
        <v>16</v>
      </c>
      <c r="C121" s="1855" t="s">
        <v>2790</v>
      </c>
      <c r="D121" s="1855" t="s">
        <v>2791</v>
      </c>
      <c r="E121" s="1855" t="s">
        <v>2792</v>
      </c>
      <c r="F121" s="1855" t="s">
        <v>2399</v>
      </c>
      <c r="G121" s="1855" t="s">
        <v>22</v>
      </c>
      <c r="H121" s="1855" t="s">
        <v>22</v>
      </c>
      <c r="I121" s="1855" t="s">
        <v>852</v>
      </c>
    </row>
    <row customHeight="1" ht="11.25">
      <c r="A122" s="1855" t="s">
        <v>2391</v>
      </c>
      <c r="B122" s="1855" t="s">
        <v>16</v>
      </c>
      <c r="C122" s="1855" t="s">
        <v>2793</v>
      </c>
      <c r="D122" s="1855" t="s">
        <v>2794</v>
      </c>
      <c r="E122" s="1855" t="s">
        <v>2795</v>
      </c>
      <c r="F122" s="1855" t="s">
        <v>2399</v>
      </c>
      <c r="G122" s="1855" t="s">
        <v>22</v>
      </c>
      <c r="H122" s="1855" t="s">
        <v>22</v>
      </c>
      <c r="I122" s="1855" t="s">
        <v>852</v>
      </c>
    </row>
    <row customHeight="1" ht="11.25">
      <c r="A123" s="1855" t="s">
        <v>2391</v>
      </c>
      <c r="B123" s="1855" t="s">
        <v>16</v>
      </c>
      <c r="C123" s="1855" t="s">
        <v>2796</v>
      </c>
      <c r="D123" s="1855" t="s">
        <v>2797</v>
      </c>
      <c r="E123" s="1855" t="s">
        <v>2798</v>
      </c>
      <c r="F123" s="1855" t="s">
        <v>2619</v>
      </c>
      <c r="G123" s="1855" t="s">
        <v>22</v>
      </c>
      <c r="H123" s="1855" t="s">
        <v>22</v>
      </c>
      <c r="I123" s="1855" t="s">
        <v>852</v>
      </c>
    </row>
    <row customHeight="1" ht="11.25">
      <c r="A124" s="1855" t="s">
        <v>2391</v>
      </c>
      <c r="B124" s="1855" t="s">
        <v>16</v>
      </c>
      <c r="C124" s="1855" t="s">
        <v>2799</v>
      </c>
      <c r="D124" s="1855" t="s">
        <v>2800</v>
      </c>
      <c r="E124" s="1855" t="s">
        <v>2801</v>
      </c>
      <c r="F124" s="1855" t="s">
        <v>2619</v>
      </c>
      <c r="G124" s="1855" t="s">
        <v>22</v>
      </c>
      <c r="H124" s="1855" t="s">
        <v>22</v>
      </c>
      <c r="I124" s="1855" t="s">
        <v>852</v>
      </c>
    </row>
    <row customHeight="1" ht="11.25">
      <c r="A125" s="1855" t="s">
        <v>2391</v>
      </c>
      <c r="B125" s="1855" t="s">
        <v>16</v>
      </c>
      <c r="C125" s="1855" t="s">
        <v>2802</v>
      </c>
      <c r="D125" s="1855" t="s">
        <v>2803</v>
      </c>
      <c r="E125" s="1855" t="s">
        <v>2804</v>
      </c>
      <c r="F125" s="1855" t="s">
        <v>2423</v>
      </c>
      <c r="G125" s="1855" t="s">
        <v>22</v>
      </c>
      <c r="H125" s="1855" t="s">
        <v>22</v>
      </c>
      <c r="I125" s="1855" t="s">
        <v>852</v>
      </c>
    </row>
    <row customHeight="1" ht="11.25">
      <c r="A126" s="1855" t="s">
        <v>2391</v>
      </c>
      <c r="B126" s="1855" t="s">
        <v>16</v>
      </c>
      <c r="C126" s="1855" t="s">
        <v>2805</v>
      </c>
      <c r="D126" s="1855" t="s">
        <v>2806</v>
      </c>
      <c r="E126" s="1855" t="s">
        <v>2807</v>
      </c>
      <c r="F126" s="1855" t="s">
        <v>2525</v>
      </c>
      <c r="G126" s="1855" t="s">
        <v>22</v>
      </c>
      <c r="H126" s="1855" t="s">
        <v>22</v>
      </c>
      <c r="I126" s="1855" t="s">
        <v>852</v>
      </c>
    </row>
    <row customHeight="1" ht="11.25">
      <c r="A127" s="1855" t="s">
        <v>2391</v>
      </c>
      <c r="B127" s="1855" t="s">
        <v>16</v>
      </c>
      <c r="C127" s="1855" t="s">
        <v>2808</v>
      </c>
      <c r="D127" s="1855" t="s">
        <v>2809</v>
      </c>
      <c r="E127" s="1855" t="s">
        <v>2810</v>
      </c>
      <c r="F127" s="1855" t="s">
        <v>2399</v>
      </c>
      <c r="G127" s="1855" t="s">
        <v>2811</v>
      </c>
      <c r="H127" s="1855" t="s">
        <v>22</v>
      </c>
      <c r="I127" s="1855" t="s">
        <v>852</v>
      </c>
    </row>
    <row customHeight="1" ht="11.25">
      <c r="A128" s="1855" t="s">
        <v>2391</v>
      </c>
      <c r="B128" s="1855" t="s">
        <v>16</v>
      </c>
      <c r="C128" s="1855" t="s">
        <v>2812</v>
      </c>
      <c r="D128" s="1855" t="s">
        <v>2813</v>
      </c>
      <c r="E128" s="1855" t="s">
        <v>2814</v>
      </c>
      <c r="F128" s="1855" t="s">
        <v>2619</v>
      </c>
      <c r="G128" s="1855" t="s">
        <v>2815</v>
      </c>
      <c r="H128" s="1855" t="s">
        <v>22</v>
      </c>
      <c r="I128" s="1855" t="s">
        <v>852</v>
      </c>
    </row>
    <row customHeight="1" ht="11.25">
      <c r="A129" s="1855" t="s">
        <v>2391</v>
      </c>
      <c r="B129" s="1855" t="s">
        <v>16</v>
      </c>
      <c r="C129" s="1855" t="s">
        <v>2816</v>
      </c>
      <c r="D129" s="1855" t="s">
        <v>2817</v>
      </c>
      <c r="E129" s="1855" t="s">
        <v>2818</v>
      </c>
      <c r="F129" s="1855" t="s">
        <v>2399</v>
      </c>
      <c r="G129" s="1855" t="s">
        <v>22</v>
      </c>
      <c r="H129" s="1855" t="s">
        <v>22</v>
      </c>
      <c r="I129" s="1855" t="s">
        <v>852</v>
      </c>
    </row>
    <row customHeight="1" ht="11.25">
      <c r="A130" s="1855" t="s">
        <v>2391</v>
      </c>
      <c r="B130" s="1855" t="s">
        <v>16</v>
      </c>
      <c r="C130" s="1855" t="s">
        <v>2819</v>
      </c>
      <c r="D130" s="1855" t="s">
        <v>2820</v>
      </c>
      <c r="E130" s="1855" t="s">
        <v>2821</v>
      </c>
      <c r="F130" s="1855" t="s">
        <v>2399</v>
      </c>
      <c r="G130" s="1855" t="s">
        <v>22</v>
      </c>
      <c r="H130" s="1855" t="s">
        <v>22</v>
      </c>
      <c r="I130" s="1855" t="s">
        <v>852</v>
      </c>
    </row>
    <row customHeight="1" ht="11.25">
      <c r="A131" s="1855" t="s">
        <v>2391</v>
      </c>
      <c r="B131" s="1855" t="s">
        <v>16</v>
      </c>
      <c r="C131" s="1855" t="s">
        <v>2822</v>
      </c>
      <c r="D131" s="1855" t="s">
        <v>2823</v>
      </c>
      <c r="E131" s="1855" t="s">
        <v>2824</v>
      </c>
      <c r="F131" s="1855" t="s">
        <v>2493</v>
      </c>
      <c r="G131" s="1855" t="s">
        <v>2825</v>
      </c>
      <c r="H131" s="1855" t="s">
        <v>22</v>
      </c>
      <c r="I131" s="1855" t="s">
        <v>852</v>
      </c>
    </row>
    <row customHeight="1" ht="11.25">
      <c r="A132" s="1855" t="s">
        <v>2391</v>
      </c>
      <c r="B132" s="1855" t="s">
        <v>16</v>
      </c>
      <c r="C132" s="1855" t="s">
        <v>2826</v>
      </c>
      <c r="D132" s="1855" t="s">
        <v>2827</v>
      </c>
      <c r="E132" s="1855" t="s">
        <v>2828</v>
      </c>
      <c r="F132" s="1855" t="s">
        <v>2619</v>
      </c>
      <c r="G132" s="1855" t="s">
        <v>22</v>
      </c>
      <c r="H132" s="1855" t="s">
        <v>22</v>
      </c>
      <c r="I132" s="1855" t="s">
        <v>852</v>
      </c>
    </row>
    <row customHeight="1" ht="11.25">
      <c r="A133" s="1855" t="s">
        <v>2391</v>
      </c>
      <c r="B133" s="1855" t="s">
        <v>16</v>
      </c>
      <c r="C133" s="1855" t="s">
        <v>2829</v>
      </c>
      <c r="D133" s="1855" t="s">
        <v>2830</v>
      </c>
      <c r="E133" s="1855" t="s">
        <v>2831</v>
      </c>
      <c r="F133" s="1855" t="s">
        <v>2399</v>
      </c>
      <c r="G133" s="1855" t="s">
        <v>22</v>
      </c>
      <c r="H133" s="1855" t="s">
        <v>22</v>
      </c>
      <c r="I133" s="1855" t="s">
        <v>852</v>
      </c>
    </row>
    <row customHeight="1" ht="11.25">
      <c r="A134" s="1855" t="s">
        <v>2391</v>
      </c>
      <c r="B134" s="1855" t="s">
        <v>16</v>
      </c>
      <c r="C134" s="1855" t="s">
        <v>2832</v>
      </c>
      <c r="D134" s="1855" t="s">
        <v>2830</v>
      </c>
      <c r="E134" s="1855" t="s">
        <v>2831</v>
      </c>
      <c r="F134" s="1855" t="s">
        <v>2510</v>
      </c>
      <c r="G134" s="1855" t="s">
        <v>2833</v>
      </c>
      <c r="H134" s="1855" t="s">
        <v>22</v>
      </c>
      <c r="I134" s="1855" t="s">
        <v>852</v>
      </c>
    </row>
    <row customHeight="1" ht="11.25">
      <c r="A135" s="1855" t="s">
        <v>2391</v>
      </c>
      <c r="B135" s="1855" t="s">
        <v>16</v>
      </c>
      <c r="C135" s="1855" t="s">
        <v>2834</v>
      </c>
      <c r="D135" s="1855" t="s">
        <v>2835</v>
      </c>
      <c r="E135" s="1855" t="s">
        <v>2836</v>
      </c>
      <c r="F135" s="1855" t="s">
        <v>2660</v>
      </c>
      <c r="G135" s="1855" t="s">
        <v>22</v>
      </c>
      <c r="H135" s="1855" t="s">
        <v>22</v>
      </c>
      <c r="I135" s="1855" t="s">
        <v>852</v>
      </c>
    </row>
    <row customHeight="1" ht="11.25">
      <c r="A136" s="1855" t="s">
        <v>2391</v>
      </c>
      <c r="B136" s="1855" t="s">
        <v>16</v>
      </c>
      <c r="C136" s="1855" t="s">
        <v>2837</v>
      </c>
      <c r="D136" s="1855" t="s">
        <v>2838</v>
      </c>
      <c r="E136" s="1855" t="s">
        <v>2839</v>
      </c>
      <c r="F136" s="1855" t="s">
        <v>2399</v>
      </c>
      <c r="G136" s="1855" t="s">
        <v>22</v>
      </c>
      <c r="H136" s="1855" t="s">
        <v>22</v>
      </c>
      <c r="I136" s="1855" t="s">
        <v>852</v>
      </c>
    </row>
    <row customHeight="1" ht="11.25">
      <c r="A137" s="1855" t="s">
        <v>2391</v>
      </c>
      <c r="B137" s="1855" t="s">
        <v>16</v>
      </c>
      <c r="C137" s="1855" t="s">
        <v>2840</v>
      </c>
      <c r="D137" s="1855" t="s">
        <v>2841</v>
      </c>
      <c r="E137" s="1855" t="s">
        <v>2842</v>
      </c>
      <c r="F137" s="1855" t="s">
        <v>2619</v>
      </c>
      <c r="G137" s="1855" t="s">
        <v>22</v>
      </c>
      <c r="H137" s="1855" t="s">
        <v>22</v>
      </c>
      <c r="I137" s="1855" t="s">
        <v>852</v>
      </c>
    </row>
    <row customHeight="1" ht="11.25">
      <c r="A138" s="1855" t="s">
        <v>2391</v>
      </c>
      <c r="B138" s="1855" t="s">
        <v>16</v>
      </c>
      <c r="C138" s="1855" t="s">
        <v>2843</v>
      </c>
      <c r="D138" s="1855" t="s">
        <v>2844</v>
      </c>
      <c r="E138" s="1855" t="s">
        <v>2845</v>
      </c>
      <c r="F138" s="1855" t="s">
        <v>2427</v>
      </c>
      <c r="G138" s="1855" t="s">
        <v>22</v>
      </c>
      <c r="H138" s="1855" t="s">
        <v>22</v>
      </c>
      <c r="I138" s="1855" t="s">
        <v>852</v>
      </c>
    </row>
    <row customHeight="1" ht="11.25">
      <c r="A139" s="1855" t="s">
        <v>2391</v>
      </c>
      <c r="B139" s="1855" t="s">
        <v>16</v>
      </c>
      <c r="C139" s="1855" t="s">
        <v>2846</v>
      </c>
      <c r="D139" s="1855" t="s">
        <v>2847</v>
      </c>
      <c r="E139" s="1855" t="s">
        <v>2848</v>
      </c>
      <c r="F139" s="1855" t="s">
        <v>2399</v>
      </c>
      <c r="G139" s="1855" t="s">
        <v>2849</v>
      </c>
      <c r="H139" s="1855" t="s">
        <v>22</v>
      </c>
      <c r="I139" s="1855" t="s">
        <v>852</v>
      </c>
    </row>
    <row customHeight="1" ht="11.25">
      <c r="A140" s="1855" t="s">
        <v>2391</v>
      </c>
      <c r="B140" s="1855" t="s">
        <v>16</v>
      </c>
      <c r="C140" s="1855" t="s">
        <v>2850</v>
      </c>
      <c r="D140" s="1855" t="s">
        <v>2851</v>
      </c>
      <c r="E140" s="1855" t="s">
        <v>2852</v>
      </c>
      <c r="F140" s="1855" t="s">
        <v>2853</v>
      </c>
      <c r="G140" s="1855" t="s">
        <v>22</v>
      </c>
      <c r="H140" s="1855" t="s">
        <v>22</v>
      </c>
      <c r="I140" s="1855" t="s">
        <v>852</v>
      </c>
    </row>
    <row customHeight="1" ht="11.25">
      <c r="A141" s="1855" t="s">
        <v>2391</v>
      </c>
      <c r="B141" s="1855" t="s">
        <v>16</v>
      </c>
      <c r="C141" s="1855" t="s">
        <v>2854</v>
      </c>
      <c r="D141" s="1855" t="s">
        <v>2855</v>
      </c>
      <c r="E141" s="1855" t="s">
        <v>2856</v>
      </c>
      <c r="F141" s="1855" t="s">
        <v>2475</v>
      </c>
      <c r="G141" s="1855" t="s">
        <v>22</v>
      </c>
      <c r="H141" s="1855" t="s">
        <v>22</v>
      </c>
      <c r="I141" s="1855" t="s">
        <v>852</v>
      </c>
    </row>
    <row customHeight="1" ht="11.25">
      <c r="A142" s="1855" t="s">
        <v>2391</v>
      </c>
      <c r="B142" s="1855" t="s">
        <v>16</v>
      </c>
      <c r="C142" s="1855" t="s">
        <v>2857</v>
      </c>
      <c r="D142" s="1855" t="s">
        <v>2858</v>
      </c>
      <c r="E142" s="1855" t="s">
        <v>2859</v>
      </c>
      <c r="F142" s="1855" t="s">
        <v>2619</v>
      </c>
      <c r="G142" s="1855" t="s">
        <v>22</v>
      </c>
      <c r="H142" s="1855" t="s">
        <v>22</v>
      </c>
      <c r="I142" s="1855" t="s">
        <v>852</v>
      </c>
    </row>
    <row customHeight="1" ht="11.25">
      <c r="A143" s="1855" t="s">
        <v>2391</v>
      </c>
      <c r="B143" s="1855" t="s">
        <v>16</v>
      </c>
      <c r="C143" s="1855" t="s">
        <v>2860</v>
      </c>
      <c r="D143" s="1855" t="s">
        <v>2861</v>
      </c>
      <c r="E143" s="1855" t="s">
        <v>2862</v>
      </c>
      <c r="F143" s="1855" t="s">
        <v>2475</v>
      </c>
      <c r="G143" s="1855" t="s">
        <v>22</v>
      </c>
      <c r="H143" s="1855" t="s">
        <v>22</v>
      </c>
      <c r="I143" s="1855" t="s">
        <v>852</v>
      </c>
    </row>
    <row customHeight="1" ht="11.25">
      <c r="A144" s="1855" t="s">
        <v>2391</v>
      </c>
      <c r="B144" s="1855" t="s">
        <v>16</v>
      </c>
      <c r="C144" s="1855" t="s">
        <v>2863</v>
      </c>
      <c r="D144" s="1855" t="s">
        <v>2864</v>
      </c>
      <c r="E144" s="1855" t="s">
        <v>2865</v>
      </c>
      <c r="F144" s="1855" t="s">
        <v>2510</v>
      </c>
      <c r="G144" s="1855" t="s">
        <v>22</v>
      </c>
      <c r="H144" s="1855" t="s">
        <v>22</v>
      </c>
      <c r="I144" s="1855" t="s">
        <v>852</v>
      </c>
    </row>
    <row customHeight="1" ht="11.25">
      <c r="A145" s="1855" t="s">
        <v>2391</v>
      </c>
      <c r="B145" s="1855" t="s">
        <v>16</v>
      </c>
      <c r="C145" s="1855" t="s">
        <v>2866</v>
      </c>
      <c r="D145" s="1855" t="s">
        <v>2867</v>
      </c>
      <c r="E145" s="1855" t="s">
        <v>2868</v>
      </c>
      <c r="F145" s="1855" t="s">
        <v>2399</v>
      </c>
      <c r="G145" s="1855" t="s">
        <v>22</v>
      </c>
      <c r="H145" s="1855" t="s">
        <v>22</v>
      </c>
      <c r="I145" s="1855" t="s">
        <v>852</v>
      </c>
    </row>
    <row customHeight="1" ht="11.25">
      <c r="A146" s="1855" t="s">
        <v>2391</v>
      </c>
      <c r="B146" s="1855" t="s">
        <v>16</v>
      </c>
      <c r="C146" s="1855" t="s">
        <v>2869</v>
      </c>
      <c r="D146" s="1855" t="s">
        <v>2870</v>
      </c>
      <c r="E146" s="1855" t="s">
        <v>2871</v>
      </c>
      <c r="F146" s="1855" t="s">
        <v>2493</v>
      </c>
      <c r="G146" s="1855" t="s">
        <v>22</v>
      </c>
      <c r="H146" s="1855" t="s">
        <v>22</v>
      </c>
      <c r="I146" s="1855" t="s">
        <v>852</v>
      </c>
    </row>
    <row customHeight="1" ht="11.25">
      <c r="A147" s="1855" t="s">
        <v>2391</v>
      </c>
      <c r="B147" s="1855" t="s">
        <v>16</v>
      </c>
      <c r="C147" s="1855" t="s">
        <v>2872</v>
      </c>
      <c r="D147" s="1855" t="s">
        <v>2873</v>
      </c>
      <c r="E147" s="1855" t="s">
        <v>2874</v>
      </c>
      <c r="F147" s="1855" t="s">
        <v>2853</v>
      </c>
      <c r="G147" s="1855" t="s">
        <v>2875</v>
      </c>
      <c r="H147" s="1855" t="s">
        <v>22</v>
      </c>
      <c r="I147" s="1855" t="s">
        <v>852</v>
      </c>
    </row>
    <row customHeight="1" ht="11.25">
      <c r="A148" s="1855" t="s">
        <v>2391</v>
      </c>
      <c r="B148" s="1855" t="s">
        <v>16</v>
      </c>
      <c r="C148" s="1855" t="s">
        <v>2876</v>
      </c>
      <c r="D148" s="1855" t="s">
        <v>2877</v>
      </c>
      <c r="E148" s="1855" t="s">
        <v>2878</v>
      </c>
      <c r="F148" s="1855" t="s">
        <v>2399</v>
      </c>
      <c r="G148" s="1855" t="s">
        <v>22</v>
      </c>
      <c r="H148" s="1855" t="s">
        <v>22</v>
      </c>
      <c r="I148" s="1855" t="s">
        <v>852</v>
      </c>
    </row>
    <row customHeight="1" ht="11.25">
      <c r="A149" s="1855" t="s">
        <v>2391</v>
      </c>
      <c r="B149" s="1855" t="s">
        <v>16</v>
      </c>
      <c r="C149" s="1855" t="s">
        <v>2879</v>
      </c>
      <c r="D149" s="1855" t="s">
        <v>2880</v>
      </c>
      <c r="E149" s="1855" t="s">
        <v>2881</v>
      </c>
      <c r="F149" s="1855" t="s">
        <v>2399</v>
      </c>
      <c r="G149" s="1855" t="s">
        <v>22</v>
      </c>
      <c r="H149" s="1855" t="s">
        <v>22</v>
      </c>
      <c r="I149" s="1855" t="s">
        <v>852</v>
      </c>
    </row>
    <row customHeight="1" ht="11.25">
      <c r="A150" s="1855" t="s">
        <v>2391</v>
      </c>
      <c r="B150" s="1855" t="s">
        <v>16</v>
      </c>
      <c r="C150" s="1855" t="s">
        <v>2882</v>
      </c>
      <c r="D150" s="1855" t="s">
        <v>2883</v>
      </c>
      <c r="E150" s="1855" t="s">
        <v>2884</v>
      </c>
      <c r="F150" s="1855" t="s">
        <v>2698</v>
      </c>
      <c r="G150" s="1855" t="s">
        <v>22</v>
      </c>
      <c r="H150" s="1855" t="s">
        <v>22</v>
      </c>
      <c r="I150" s="1855" t="s">
        <v>852</v>
      </c>
    </row>
    <row customHeight="1" ht="11.25">
      <c r="A151" s="1855" t="s">
        <v>2391</v>
      </c>
      <c r="B151" s="1855" t="s">
        <v>16</v>
      </c>
      <c r="C151" s="1855" t="s">
        <v>2885</v>
      </c>
      <c r="D151" s="1855" t="s">
        <v>2886</v>
      </c>
      <c r="E151" s="1855" t="s">
        <v>2887</v>
      </c>
      <c r="F151" s="1855" t="s">
        <v>2525</v>
      </c>
      <c r="G151" s="1855" t="s">
        <v>2888</v>
      </c>
      <c r="H151" s="1855" t="s">
        <v>22</v>
      </c>
      <c r="I151" s="1855" t="s">
        <v>852</v>
      </c>
    </row>
    <row customHeight="1" ht="11.25">
      <c r="A152" s="1855" t="s">
        <v>2391</v>
      </c>
      <c r="B152" s="1855" t="s">
        <v>16</v>
      </c>
      <c r="C152" s="1855" t="s">
        <v>2889</v>
      </c>
      <c r="D152" s="1855" t="s">
        <v>2890</v>
      </c>
      <c r="E152" s="1855" t="s">
        <v>2891</v>
      </c>
      <c r="F152" s="1855" t="s">
        <v>2447</v>
      </c>
      <c r="G152" s="1855" t="s">
        <v>22</v>
      </c>
      <c r="H152" s="1855" t="s">
        <v>22</v>
      </c>
      <c r="I152" s="1855" t="s">
        <v>852</v>
      </c>
    </row>
    <row customHeight="1" ht="11.25">
      <c r="A153" s="1855" t="s">
        <v>2391</v>
      </c>
      <c r="B153" s="1855" t="s">
        <v>16</v>
      </c>
      <c r="C153" s="1855" t="s">
        <v>2892</v>
      </c>
      <c r="D153" s="1855" t="s">
        <v>2893</v>
      </c>
      <c r="E153" s="1855" t="s">
        <v>2894</v>
      </c>
      <c r="F153" s="1855" t="s">
        <v>2486</v>
      </c>
      <c r="G153" s="1855" t="s">
        <v>22</v>
      </c>
      <c r="H153" s="1855" t="s">
        <v>22</v>
      </c>
      <c r="I153" s="1855" t="s">
        <v>852</v>
      </c>
    </row>
    <row customHeight="1" ht="11.25">
      <c r="A154" s="1855" t="s">
        <v>2391</v>
      </c>
      <c r="B154" s="1855" t="s">
        <v>16</v>
      </c>
      <c r="C154" s="1855" t="s">
        <v>2895</v>
      </c>
      <c r="D154" s="1855" t="s">
        <v>2896</v>
      </c>
      <c r="E154" s="1855" t="s">
        <v>2897</v>
      </c>
      <c r="F154" s="1855" t="s">
        <v>2493</v>
      </c>
      <c r="G154" s="1855" t="s">
        <v>22</v>
      </c>
      <c r="H154" s="1855" t="s">
        <v>22</v>
      </c>
      <c r="I154" s="1855" t="s">
        <v>852</v>
      </c>
    </row>
    <row customHeight="1" ht="11.25">
      <c r="A155" s="1855" t="s">
        <v>2391</v>
      </c>
      <c r="B155" s="1855" t="s">
        <v>16</v>
      </c>
      <c r="C155" s="1855" t="s">
        <v>2898</v>
      </c>
      <c r="D155" s="1855" t="s">
        <v>2899</v>
      </c>
      <c r="E155" s="1855" t="s">
        <v>2900</v>
      </c>
      <c r="F155" s="1855" t="s">
        <v>2525</v>
      </c>
      <c r="G155" s="1855" t="s">
        <v>22</v>
      </c>
      <c r="H155" s="1855" t="s">
        <v>22</v>
      </c>
      <c r="I155" s="1855" t="s">
        <v>852</v>
      </c>
    </row>
    <row customHeight="1" ht="11.25">
      <c r="A156" s="1855" t="s">
        <v>2391</v>
      </c>
      <c r="B156" s="1855" t="s">
        <v>16</v>
      </c>
      <c r="C156" s="1855" t="s">
        <v>2901</v>
      </c>
      <c r="D156" s="1855" t="s">
        <v>2902</v>
      </c>
      <c r="E156" s="1855" t="s">
        <v>2903</v>
      </c>
      <c r="F156" s="1855" t="s">
        <v>2619</v>
      </c>
      <c r="G156" s="1855" t="s">
        <v>22</v>
      </c>
      <c r="H156" s="1855" t="s">
        <v>22</v>
      </c>
      <c r="I156" s="1855" t="s">
        <v>852</v>
      </c>
    </row>
    <row customHeight="1" ht="11.25">
      <c r="A157" s="1855" t="s">
        <v>2391</v>
      </c>
      <c r="B157" s="1855" t="s">
        <v>16</v>
      </c>
      <c r="C157" s="1855" t="s">
        <v>2904</v>
      </c>
      <c r="D157" s="1855" t="s">
        <v>2905</v>
      </c>
      <c r="E157" s="1855" t="s">
        <v>2906</v>
      </c>
      <c r="F157" s="1855" t="s">
        <v>2525</v>
      </c>
      <c r="G157" s="1855" t="s">
        <v>22</v>
      </c>
      <c r="H157" s="1855" t="s">
        <v>22</v>
      </c>
      <c r="I157" s="1855" t="s">
        <v>852</v>
      </c>
    </row>
    <row customHeight="1" ht="11.25">
      <c r="A158" s="1855" t="s">
        <v>2391</v>
      </c>
      <c r="B158" s="1855" t="s">
        <v>16</v>
      </c>
      <c r="C158" s="1855" t="s">
        <v>2907</v>
      </c>
      <c r="D158" s="1855" t="s">
        <v>2908</v>
      </c>
      <c r="E158" s="1855" t="s">
        <v>2909</v>
      </c>
      <c r="F158" s="1855" t="s">
        <v>2486</v>
      </c>
      <c r="G158" s="1855" t="s">
        <v>22</v>
      </c>
      <c r="H158" s="1855" t="s">
        <v>22</v>
      </c>
      <c r="I158" s="1855" t="s">
        <v>852</v>
      </c>
    </row>
    <row customHeight="1" ht="11.25">
      <c r="A159" s="1855" t="s">
        <v>2391</v>
      </c>
      <c r="B159" s="1855" t="s">
        <v>16</v>
      </c>
      <c r="C159" s="1855" t="s">
        <v>2910</v>
      </c>
      <c r="D159" s="1855" t="s">
        <v>2908</v>
      </c>
      <c r="E159" s="1855" t="s">
        <v>2911</v>
      </c>
      <c r="F159" s="1855" t="s">
        <v>2427</v>
      </c>
      <c r="G159" s="1855" t="s">
        <v>22</v>
      </c>
      <c r="H159" s="1855" t="s">
        <v>22</v>
      </c>
      <c r="I159" s="1855" t="s">
        <v>852</v>
      </c>
    </row>
    <row customHeight="1" ht="11.25">
      <c r="A160" s="1855" t="s">
        <v>2391</v>
      </c>
      <c r="B160" s="1855" t="s">
        <v>16</v>
      </c>
      <c r="C160" s="1855" t="s">
        <v>2912</v>
      </c>
      <c r="D160" s="1855" t="s">
        <v>2913</v>
      </c>
      <c r="E160" s="1855" t="s">
        <v>2914</v>
      </c>
      <c r="F160" s="1855" t="s">
        <v>2486</v>
      </c>
      <c r="G160" s="1855" t="s">
        <v>22</v>
      </c>
      <c r="H160" s="1855" t="s">
        <v>22</v>
      </c>
      <c r="I160" s="1855" t="s">
        <v>852</v>
      </c>
    </row>
    <row customHeight="1" ht="11.25">
      <c r="A161" s="1855" t="s">
        <v>2391</v>
      </c>
      <c r="B161" s="1855" t="s">
        <v>16</v>
      </c>
      <c r="C161" s="1855" t="s">
        <v>2915</v>
      </c>
      <c r="D161" s="1855" t="s">
        <v>2916</v>
      </c>
      <c r="E161" s="1855" t="s">
        <v>2917</v>
      </c>
      <c r="F161" s="1855" t="s">
        <v>2399</v>
      </c>
      <c r="G161" s="1855" t="s">
        <v>22</v>
      </c>
      <c r="H161" s="1855" t="s">
        <v>22</v>
      </c>
      <c r="I161" s="1855" t="s">
        <v>852</v>
      </c>
    </row>
    <row customHeight="1" ht="11.25">
      <c r="A162" s="1855" t="s">
        <v>2391</v>
      </c>
      <c r="B162" s="1855" t="s">
        <v>16</v>
      </c>
      <c r="C162" s="1855" t="s">
        <v>2918</v>
      </c>
      <c r="D162" s="1855" t="s">
        <v>2919</v>
      </c>
      <c r="E162" s="1855" t="s">
        <v>2920</v>
      </c>
      <c r="F162" s="1855" t="s">
        <v>2525</v>
      </c>
      <c r="G162" s="1855" t="s">
        <v>22</v>
      </c>
      <c r="H162" s="1855" t="s">
        <v>22</v>
      </c>
      <c r="I162" s="1855" t="s">
        <v>852</v>
      </c>
    </row>
    <row customHeight="1" ht="11.25">
      <c r="A163" s="1855" t="s">
        <v>2391</v>
      </c>
      <c r="B163" s="1855" t="s">
        <v>16</v>
      </c>
      <c r="C163" s="1855" t="s">
        <v>2921</v>
      </c>
      <c r="D163" s="1855" t="s">
        <v>2922</v>
      </c>
      <c r="E163" s="1855" t="s">
        <v>2923</v>
      </c>
      <c r="F163" s="1855" t="s">
        <v>2619</v>
      </c>
      <c r="G163" s="1855" t="s">
        <v>22</v>
      </c>
      <c r="H163" s="1855" t="s">
        <v>22</v>
      </c>
      <c r="I163" s="1855" t="s">
        <v>852</v>
      </c>
    </row>
    <row customHeight="1" ht="11.25">
      <c r="A164" s="1855" t="s">
        <v>2391</v>
      </c>
      <c r="B164" s="1855" t="s">
        <v>16</v>
      </c>
      <c r="C164" s="1855" t="s">
        <v>2924</v>
      </c>
      <c r="D164" s="1855" t="s">
        <v>2925</v>
      </c>
      <c r="E164" s="1855" t="s">
        <v>2926</v>
      </c>
      <c r="F164" s="1855" t="s">
        <v>2853</v>
      </c>
      <c r="G164" s="1855" t="s">
        <v>22</v>
      </c>
      <c r="H164" s="1855" t="s">
        <v>22</v>
      </c>
      <c r="I164" s="1855" t="s">
        <v>852</v>
      </c>
    </row>
    <row customHeight="1" ht="11.25">
      <c r="A165" s="1855" t="s">
        <v>2391</v>
      </c>
      <c r="B165" s="1855" t="s">
        <v>16</v>
      </c>
      <c r="C165" s="1855" t="s">
        <v>2927</v>
      </c>
      <c r="D165" s="1855" t="s">
        <v>2928</v>
      </c>
      <c r="E165" s="1855" t="s">
        <v>2929</v>
      </c>
      <c r="F165" s="1855" t="s">
        <v>2399</v>
      </c>
      <c r="G165" s="1855" t="s">
        <v>2930</v>
      </c>
      <c r="H165" s="1855" t="s">
        <v>22</v>
      </c>
      <c r="I165" s="1855" t="s">
        <v>852</v>
      </c>
    </row>
    <row customHeight="1" ht="11.25">
      <c r="A166" s="1855" t="s">
        <v>2391</v>
      </c>
      <c r="B166" s="1855" t="s">
        <v>16</v>
      </c>
      <c r="C166" s="1855" t="s">
        <v>2931</v>
      </c>
      <c r="D166" s="1855" t="s">
        <v>2932</v>
      </c>
      <c r="E166" s="1855" t="s">
        <v>2933</v>
      </c>
      <c r="F166" s="1855" t="s">
        <v>2525</v>
      </c>
      <c r="G166" s="1855" t="s">
        <v>22</v>
      </c>
      <c r="H166" s="1855" t="s">
        <v>22</v>
      </c>
      <c r="I166" s="1855" t="s">
        <v>852</v>
      </c>
    </row>
    <row customHeight="1" ht="11.25">
      <c r="A167" s="1855" t="s">
        <v>2391</v>
      </c>
      <c r="B167" s="1855" t="s">
        <v>16</v>
      </c>
      <c r="C167" s="1855" t="s">
        <v>2934</v>
      </c>
      <c r="D167" s="1855" t="s">
        <v>2935</v>
      </c>
      <c r="E167" s="1855" t="s">
        <v>2936</v>
      </c>
      <c r="F167" s="1855" t="s">
        <v>2667</v>
      </c>
      <c r="G167" s="1855" t="s">
        <v>22</v>
      </c>
      <c r="H167" s="1855" t="s">
        <v>22</v>
      </c>
      <c r="I167" s="1855" t="s">
        <v>852</v>
      </c>
    </row>
    <row customHeight="1" ht="11.25">
      <c r="A168" s="1855" t="s">
        <v>2391</v>
      </c>
      <c r="B168" s="1855" t="s">
        <v>16</v>
      </c>
      <c r="C168" s="1855" t="s">
        <v>2937</v>
      </c>
      <c r="D168" s="1855" t="s">
        <v>2938</v>
      </c>
      <c r="E168" s="1855" t="s">
        <v>2939</v>
      </c>
      <c r="F168" s="1855" t="s">
        <v>2525</v>
      </c>
      <c r="G168" s="1855" t="s">
        <v>22</v>
      </c>
      <c r="H168" s="1855" t="s">
        <v>22</v>
      </c>
      <c r="I168" s="1855" t="s">
        <v>852</v>
      </c>
    </row>
    <row customHeight="1" ht="11.25">
      <c r="A169" s="1855" t="s">
        <v>2391</v>
      </c>
      <c r="B169" s="1855" t="s">
        <v>16</v>
      </c>
      <c r="C169" s="1855" t="s">
        <v>2940</v>
      </c>
      <c r="D169" s="1855" t="s">
        <v>2941</v>
      </c>
      <c r="E169" s="1855" t="s">
        <v>2942</v>
      </c>
      <c r="F169" s="1855" t="s">
        <v>2667</v>
      </c>
      <c r="G169" s="1855" t="s">
        <v>22</v>
      </c>
      <c r="H169" s="1855" t="s">
        <v>22</v>
      </c>
      <c r="I169" s="1855" t="s">
        <v>852</v>
      </c>
    </row>
    <row customHeight="1" ht="11.25">
      <c r="A170" s="1855" t="s">
        <v>2391</v>
      </c>
      <c r="B170" s="1855" t="s">
        <v>16</v>
      </c>
      <c r="C170" s="1855" t="s">
        <v>2943</v>
      </c>
      <c r="D170" s="1855" t="s">
        <v>2944</v>
      </c>
      <c r="E170" s="1855" t="s">
        <v>2945</v>
      </c>
      <c r="F170" s="1855" t="s">
        <v>2486</v>
      </c>
      <c r="G170" s="1855" t="s">
        <v>22</v>
      </c>
      <c r="H170" s="1855" t="s">
        <v>22</v>
      </c>
      <c r="I170" s="1855" t="s">
        <v>852</v>
      </c>
    </row>
    <row customHeight="1" ht="11.25">
      <c r="A171" s="1855" t="s">
        <v>2391</v>
      </c>
      <c r="B171" s="1855" t="s">
        <v>16</v>
      </c>
      <c r="C171" s="1855" t="s">
        <v>2946</v>
      </c>
      <c r="D171" s="1855" t="s">
        <v>2947</v>
      </c>
      <c r="E171" s="1855" t="s">
        <v>2948</v>
      </c>
      <c r="F171" s="1855" t="s">
        <v>2475</v>
      </c>
      <c r="G171" s="1855" t="s">
        <v>22</v>
      </c>
      <c r="H171" s="1855" t="s">
        <v>22</v>
      </c>
      <c r="I171" s="1855" t="s">
        <v>852</v>
      </c>
    </row>
    <row customHeight="1" ht="11.25">
      <c r="A172" s="1855" t="s">
        <v>2391</v>
      </c>
      <c r="B172" s="1855" t="s">
        <v>16</v>
      </c>
      <c r="C172" s="1855" t="s">
        <v>2949</v>
      </c>
      <c r="D172" s="1855" t="s">
        <v>2950</v>
      </c>
      <c r="E172" s="1855" t="s">
        <v>2951</v>
      </c>
      <c r="F172" s="1855" t="s">
        <v>2399</v>
      </c>
      <c r="G172" s="1855" t="s">
        <v>22</v>
      </c>
      <c r="H172" s="1855" t="s">
        <v>22</v>
      </c>
      <c r="I172" s="1855" t="s">
        <v>852</v>
      </c>
    </row>
    <row customHeight="1" ht="11.25">
      <c r="A173" s="1855" t="s">
        <v>2391</v>
      </c>
      <c r="B173" s="1855" t="s">
        <v>16</v>
      </c>
      <c r="C173" s="1855" t="s">
        <v>2952</v>
      </c>
      <c r="D173" s="1855" t="s">
        <v>2953</v>
      </c>
      <c r="E173" s="1855" t="s">
        <v>2954</v>
      </c>
      <c r="F173" s="1855" t="s">
        <v>2955</v>
      </c>
      <c r="G173" s="1855" t="s">
        <v>22</v>
      </c>
      <c r="H173" s="1855" t="s">
        <v>22</v>
      </c>
      <c r="I173" s="1855" t="s">
        <v>852</v>
      </c>
    </row>
    <row customHeight="1" ht="11.25">
      <c r="A174" s="1855" t="s">
        <v>2391</v>
      </c>
      <c r="B174" s="1855" t="s">
        <v>16</v>
      </c>
      <c r="C174" s="1855" t="s">
        <v>2956</v>
      </c>
      <c r="D174" s="1855" t="s">
        <v>2957</v>
      </c>
      <c r="E174" s="1855" t="s">
        <v>2958</v>
      </c>
      <c r="F174" s="1855" t="s">
        <v>2399</v>
      </c>
      <c r="G174" s="1855" t="s">
        <v>22</v>
      </c>
      <c r="H174" s="1855" t="s">
        <v>22</v>
      </c>
      <c r="I174" s="1855" t="s">
        <v>852</v>
      </c>
    </row>
    <row customHeight="1" ht="11.25">
      <c r="A175" s="1855" t="s">
        <v>2391</v>
      </c>
      <c r="B175" s="1855" t="s">
        <v>16</v>
      </c>
      <c r="C175" s="1855" t="s">
        <v>2959</v>
      </c>
      <c r="D175" s="1855" t="s">
        <v>2960</v>
      </c>
      <c r="E175" s="1855" t="s">
        <v>2961</v>
      </c>
      <c r="F175" s="1855" t="s">
        <v>2475</v>
      </c>
      <c r="G175" s="1855" t="s">
        <v>22</v>
      </c>
      <c r="H175" s="1855" t="s">
        <v>22</v>
      </c>
      <c r="I175" s="1855" t="s">
        <v>852</v>
      </c>
    </row>
    <row customHeight="1" ht="11.25">
      <c r="A176" s="1855" t="s">
        <v>2391</v>
      </c>
      <c r="B176" s="1855" t="s">
        <v>16</v>
      </c>
      <c r="C176" s="1855" t="s">
        <v>2962</v>
      </c>
      <c r="D176" s="1855" t="s">
        <v>2963</v>
      </c>
      <c r="E176" s="1855" t="s">
        <v>2964</v>
      </c>
      <c r="F176" s="1855" t="s">
        <v>2965</v>
      </c>
      <c r="G176" s="1855" t="s">
        <v>22</v>
      </c>
      <c r="H176" s="1855" t="s">
        <v>22</v>
      </c>
      <c r="I176" s="1855" t="s">
        <v>852</v>
      </c>
    </row>
    <row customHeight="1" ht="11.25">
      <c r="A177" s="1855" t="s">
        <v>2391</v>
      </c>
      <c r="B177" s="1855" t="s">
        <v>16</v>
      </c>
      <c r="C177" s="1855" t="s">
        <v>2966</v>
      </c>
      <c r="D177" s="1855" t="s">
        <v>2967</v>
      </c>
      <c r="E177" s="1855" t="s">
        <v>2968</v>
      </c>
      <c r="F177" s="1855" t="s">
        <v>2447</v>
      </c>
      <c r="G177" s="1855" t="s">
        <v>22</v>
      </c>
      <c r="H177" s="1855" t="s">
        <v>22</v>
      </c>
      <c r="I177" s="1855" t="s">
        <v>852</v>
      </c>
    </row>
    <row customHeight="1" ht="11.25">
      <c r="A178" s="1855" t="s">
        <v>2391</v>
      </c>
      <c r="B178" s="1855" t="s">
        <v>16</v>
      </c>
      <c r="C178" s="1855" t="s">
        <v>2969</v>
      </c>
      <c r="D178" s="1855" t="s">
        <v>2970</v>
      </c>
      <c r="E178" s="1855" t="s">
        <v>2971</v>
      </c>
      <c r="F178" s="1855" t="s">
        <v>2475</v>
      </c>
      <c r="G178" s="1855" t="s">
        <v>22</v>
      </c>
      <c r="H178" s="1855" t="s">
        <v>22</v>
      </c>
      <c r="I178" s="1855" t="s">
        <v>852</v>
      </c>
    </row>
    <row customHeight="1" ht="11.25">
      <c r="A179" s="1855" t="s">
        <v>2391</v>
      </c>
      <c r="B179" s="1855" t="s">
        <v>16</v>
      </c>
      <c r="C179" s="1855" t="s">
        <v>2972</v>
      </c>
      <c r="D179" s="1855" t="s">
        <v>2973</v>
      </c>
      <c r="E179" s="1855" t="s">
        <v>2974</v>
      </c>
      <c r="F179" s="1855" t="s">
        <v>2442</v>
      </c>
      <c r="G179" s="1855" t="s">
        <v>22</v>
      </c>
      <c r="H179" s="1855" t="s">
        <v>22</v>
      </c>
      <c r="I179" s="1855" t="s">
        <v>852</v>
      </c>
    </row>
    <row customHeight="1" ht="11.25">
      <c r="A180" s="1855" t="s">
        <v>2391</v>
      </c>
      <c r="B180" s="1855" t="s">
        <v>16</v>
      </c>
      <c r="C180" s="1855" t="s">
        <v>2975</v>
      </c>
      <c r="D180" s="1855" t="s">
        <v>2976</v>
      </c>
      <c r="E180" s="1855" t="s">
        <v>2977</v>
      </c>
      <c r="F180" s="1855" t="s">
        <v>2399</v>
      </c>
      <c r="G180" s="1855" t="s">
        <v>22</v>
      </c>
      <c r="H180" s="1855" t="s">
        <v>22</v>
      </c>
      <c r="I180" s="1855" t="s">
        <v>852</v>
      </c>
    </row>
    <row customHeight="1" ht="11.25">
      <c r="A181" s="1855" t="s">
        <v>2391</v>
      </c>
      <c r="B181" s="1855" t="s">
        <v>16</v>
      </c>
      <c r="C181" s="1855" t="s">
        <v>2978</v>
      </c>
      <c r="D181" s="1855" t="s">
        <v>2979</v>
      </c>
      <c r="E181" s="1855" t="s">
        <v>2980</v>
      </c>
      <c r="F181" s="1855" t="s">
        <v>2399</v>
      </c>
      <c r="G181" s="1855" t="s">
        <v>22</v>
      </c>
      <c r="H181" s="1855" t="s">
        <v>22</v>
      </c>
      <c r="I181" s="1855" t="s">
        <v>852</v>
      </c>
    </row>
    <row customHeight="1" ht="11.25">
      <c r="A182" s="1855" t="s">
        <v>2391</v>
      </c>
      <c r="B182" s="1855" t="s">
        <v>16</v>
      </c>
      <c r="C182" s="1855" t="s">
        <v>2981</v>
      </c>
      <c r="D182" s="1855" t="s">
        <v>2982</v>
      </c>
      <c r="E182" s="1855" t="s">
        <v>2983</v>
      </c>
      <c r="F182" s="1855" t="s">
        <v>2735</v>
      </c>
      <c r="G182" s="1855" t="s">
        <v>22</v>
      </c>
      <c r="H182" s="1855" t="s">
        <v>22</v>
      </c>
      <c r="I182" s="1855" t="s">
        <v>852</v>
      </c>
    </row>
    <row customHeight="1" ht="11.25">
      <c r="A183" s="1855" t="s">
        <v>2391</v>
      </c>
      <c r="B183" s="1855" t="s">
        <v>16</v>
      </c>
      <c r="C183" s="1855" t="s">
        <v>2984</v>
      </c>
      <c r="D183" s="1855" t="s">
        <v>2985</v>
      </c>
      <c r="E183" s="1855" t="s">
        <v>2986</v>
      </c>
      <c r="F183" s="1855" t="s">
        <v>2399</v>
      </c>
      <c r="G183" s="1855" t="s">
        <v>22</v>
      </c>
      <c r="H183" s="1855" t="s">
        <v>22</v>
      </c>
      <c r="I183" s="1855" t="s">
        <v>852</v>
      </c>
    </row>
    <row customHeight="1" ht="11.25">
      <c r="A184" s="1855" t="s">
        <v>2391</v>
      </c>
      <c r="B184" s="1855" t="s">
        <v>16</v>
      </c>
      <c r="C184" s="1855" t="s">
        <v>2987</v>
      </c>
      <c r="D184" s="1855" t="s">
        <v>2988</v>
      </c>
      <c r="E184" s="1855" t="s">
        <v>2456</v>
      </c>
      <c r="F184" s="1855" t="s">
        <v>2660</v>
      </c>
      <c r="G184" s="1855" t="s">
        <v>22</v>
      </c>
      <c r="H184" s="1855" t="s">
        <v>22</v>
      </c>
      <c r="I184" s="1855" t="s">
        <v>852</v>
      </c>
    </row>
    <row customHeight="1" ht="11.25">
      <c r="A185" s="1855" t="s">
        <v>2391</v>
      </c>
      <c r="B185" s="1855" t="s">
        <v>16</v>
      </c>
      <c r="C185" s="1855" t="s">
        <v>2989</v>
      </c>
      <c r="D185" s="1855" t="s">
        <v>2990</v>
      </c>
      <c r="E185" s="1855" t="s">
        <v>2991</v>
      </c>
      <c r="F185" s="1855" t="s">
        <v>2619</v>
      </c>
      <c r="G185" s="1855" t="s">
        <v>22</v>
      </c>
      <c r="H185" s="1855" t="s">
        <v>22</v>
      </c>
      <c r="I185" s="1855" t="s">
        <v>852</v>
      </c>
    </row>
    <row customHeight="1" ht="11.25">
      <c r="A186" s="1855" t="s">
        <v>2391</v>
      </c>
      <c r="B186" s="1855" t="s">
        <v>16</v>
      </c>
      <c r="C186" s="1855" t="s">
        <v>2992</v>
      </c>
      <c r="D186" s="1855" t="s">
        <v>2993</v>
      </c>
      <c r="E186" s="1855" t="s">
        <v>2994</v>
      </c>
      <c r="F186" s="1855" t="s">
        <v>2995</v>
      </c>
      <c r="G186" s="1855" t="s">
        <v>22</v>
      </c>
      <c r="H186" s="1855" t="s">
        <v>22</v>
      </c>
      <c r="I186" s="1855" t="s">
        <v>852</v>
      </c>
    </row>
    <row customHeight="1" ht="11.25">
      <c r="A187" s="1855" t="s">
        <v>2391</v>
      </c>
      <c r="B187" s="1855" t="s">
        <v>16</v>
      </c>
      <c r="C187" s="1855" t="s">
        <v>22</v>
      </c>
      <c r="D187" s="1855" t="s">
        <v>2996</v>
      </c>
      <c r="E187" s="1855" t="s">
        <v>2997</v>
      </c>
      <c r="F187" s="1855" t="s">
        <v>2399</v>
      </c>
      <c r="G187" s="1855" t="s">
        <v>22</v>
      </c>
      <c r="H187" s="1855" t="s">
        <v>22</v>
      </c>
      <c r="I187" s="1855" t="s">
        <v>852</v>
      </c>
    </row>
    <row customHeight="1" ht="11.25">
      <c r="A188" s="1855" t="s">
        <v>2391</v>
      </c>
      <c r="B188" s="1855" t="s">
        <v>16</v>
      </c>
      <c r="C188" s="1855" t="s">
        <v>2998</v>
      </c>
      <c r="D188" s="1855" t="s">
        <v>2999</v>
      </c>
      <c r="E188" s="1855" t="s">
        <v>3000</v>
      </c>
      <c r="F188" s="1855" t="s">
        <v>3001</v>
      </c>
      <c r="G188" s="1855" t="s">
        <v>22</v>
      </c>
      <c r="H188" s="1855" t="s">
        <v>22</v>
      </c>
      <c r="I188" s="1855" t="s">
        <v>852</v>
      </c>
    </row>
    <row customHeight="1" ht="11.25">
      <c r="A189" s="1855" t="s">
        <v>2391</v>
      </c>
      <c r="B189" s="1855" t="s">
        <v>16</v>
      </c>
      <c r="C189" s="1855" t="s">
        <v>3002</v>
      </c>
      <c r="D189" s="1855" t="s">
        <v>3003</v>
      </c>
      <c r="E189" s="1855" t="s">
        <v>3000</v>
      </c>
      <c r="F189" s="1855" t="s">
        <v>3004</v>
      </c>
      <c r="G189" s="1855" t="s">
        <v>3005</v>
      </c>
      <c r="H189" s="1855" t="s">
        <v>22</v>
      </c>
      <c r="I189" s="1855" t="s">
        <v>852</v>
      </c>
    </row>
    <row customHeight="1" ht="11.25">
      <c r="A190" s="1855" t="s">
        <v>2391</v>
      </c>
      <c r="B190" s="1855" t="s">
        <v>16</v>
      </c>
      <c r="C190" s="1855" t="s">
        <v>3006</v>
      </c>
      <c r="D190" s="1855" t="s">
        <v>3007</v>
      </c>
      <c r="E190" s="1855" t="s">
        <v>3008</v>
      </c>
      <c r="F190" s="1855" t="s">
        <v>2403</v>
      </c>
      <c r="G190" s="1855" t="s">
        <v>22</v>
      </c>
      <c r="H190" s="1855" t="s">
        <v>22</v>
      </c>
      <c r="I190" s="1855" t="s">
        <v>852</v>
      </c>
    </row>
    <row customHeight="1" ht="11.25">
      <c r="A191" s="1855" t="s">
        <v>2391</v>
      </c>
      <c r="B191" s="1855" t="s">
        <v>16</v>
      </c>
      <c r="C191" s="1855" t="s">
        <v>3009</v>
      </c>
      <c r="D191" s="1855" t="s">
        <v>3010</v>
      </c>
      <c r="E191" s="1855" t="s">
        <v>2394</v>
      </c>
      <c r="F191" s="1855" t="s">
        <v>2399</v>
      </c>
      <c r="G191" s="1855" t="s">
        <v>22</v>
      </c>
      <c r="H191" s="1855" t="s">
        <v>22</v>
      </c>
      <c r="I191" s="1855" t="s">
        <v>852</v>
      </c>
    </row>
    <row customHeight="1" ht="11.25">
      <c r="A192" s="1855" t="s">
        <v>2391</v>
      </c>
      <c r="B192" s="1855" t="s">
        <v>16</v>
      </c>
      <c r="C192" s="1855" t="s">
        <v>3011</v>
      </c>
      <c r="D192" s="1855" t="s">
        <v>3012</v>
      </c>
      <c r="E192" s="1855" t="s">
        <v>3013</v>
      </c>
      <c r="F192" s="1855" t="s">
        <v>3014</v>
      </c>
      <c r="G192" s="1855" t="s">
        <v>22</v>
      </c>
      <c r="H192" s="1855" t="s">
        <v>22</v>
      </c>
      <c r="I192" s="1855" t="s">
        <v>852</v>
      </c>
    </row>
    <row customHeight="1" ht="11.25">
      <c r="A193" s="1855" t="s">
        <v>2391</v>
      </c>
      <c r="B193" s="1855" t="s">
        <v>16</v>
      </c>
      <c r="C193" s="1855" t="s">
        <v>3015</v>
      </c>
      <c r="D193" s="1855" t="s">
        <v>3016</v>
      </c>
      <c r="E193" s="1855" t="s">
        <v>3017</v>
      </c>
      <c r="F193" s="1855" t="s">
        <v>3018</v>
      </c>
      <c r="G193" s="1855" t="s">
        <v>22</v>
      </c>
      <c r="H193" s="1855" t="s">
        <v>22</v>
      </c>
      <c r="I193" s="1855" t="s">
        <v>852</v>
      </c>
    </row>
    <row customHeight="1" ht="11.25">
      <c r="A194" s="1855" t="s">
        <v>2391</v>
      </c>
      <c r="B194" s="1855" t="s">
        <v>16</v>
      </c>
      <c r="C194" s="1855" t="s">
        <v>3019</v>
      </c>
      <c r="D194" s="1855" t="s">
        <v>3020</v>
      </c>
      <c r="E194" s="1855" t="s">
        <v>3017</v>
      </c>
      <c r="F194" s="1855" t="s">
        <v>3021</v>
      </c>
      <c r="G194" s="1855" t="s">
        <v>22</v>
      </c>
      <c r="H194" s="1855" t="s">
        <v>22</v>
      </c>
      <c r="I194" s="1855" t="s">
        <v>852</v>
      </c>
    </row>
    <row customHeight="1" ht="11.25">
      <c r="A195" s="1855" t="s">
        <v>2391</v>
      </c>
      <c r="B195" s="1855" t="s">
        <v>16</v>
      </c>
      <c r="C195" s="1855" t="s">
        <v>3022</v>
      </c>
      <c r="D195" s="1855" t="s">
        <v>3023</v>
      </c>
      <c r="E195" s="1855" t="s">
        <v>3024</v>
      </c>
      <c r="F195" s="1855" t="s">
        <v>2415</v>
      </c>
      <c r="G195" s="1855" t="s">
        <v>22</v>
      </c>
      <c r="H195" s="1855" t="s">
        <v>22</v>
      </c>
      <c r="I195" s="1855" t="s">
        <v>852</v>
      </c>
    </row>
    <row customHeight="1" ht="11.25">
      <c r="A196" s="1855" t="s">
        <v>2391</v>
      </c>
      <c r="B196" s="1855" t="s">
        <v>16</v>
      </c>
      <c r="C196" s="1855" t="s">
        <v>3025</v>
      </c>
      <c r="D196" s="1855" t="s">
        <v>3026</v>
      </c>
      <c r="E196" s="1855" t="s">
        <v>2456</v>
      </c>
      <c r="F196" s="1855" t="s">
        <v>3027</v>
      </c>
      <c r="G196" s="1855" t="s">
        <v>3028</v>
      </c>
      <c r="H196" s="1855" t="s">
        <v>22</v>
      </c>
      <c r="I196" s="1855" t="s">
        <v>852</v>
      </c>
    </row>
    <row customHeight="1" ht="11.25">
      <c r="A197" s="1855" t="s">
        <v>2391</v>
      </c>
      <c r="B197" s="1855" t="s">
        <v>16</v>
      </c>
      <c r="C197" s="1855" t="s">
        <v>2396</v>
      </c>
      <c r="D197" s="1855" t="s">
        <v>2397</v>
      </c>
      <c r="E197" s="1855" t="s">
        <v>2398</v>
      </c>
      <c r="F197" s="1855" t="s">
        <v>2399</v>
      </c>
      <c r="G197" s="1855" t="s">
        <v>22</v>
      </c>
      <c r="H197" s="1855" t="s">
        <v>22</v>
      </c>
      <c r="I197" s="1855" t="s">
        <v>939</v>
      </c>
    </row>
    <row customHeight="1" ht="11.25">
      <c r="A198" s="1855" t="s">
        <v>2391</v>
      </c>
      <c r="B198" s="1855" t="s">
        <v>16</v>
      </c>
      <c r="C198" s="1855" t="s">
        <v>2400</v>
      </c>
      <c r="D198" s="1855" t="s">
        <v>2401</v>
      </c>
      <c r="E198" s="1855" t="s">
        <v>2402</v>
      </c>
      <c r="F198" s="1855" t="s">
        <v>2403</v>
      </c>
      <c r="G198" s="1855" t="s">
        <v>22</v>
      </c>
      <c r="H198" s="1855" t="s">
        <v>22</v>
      </c>
      <c r="I198" s="1855" t="s">
        <v>939</v>
      </c>
    </row>
    <row customHeight="1" ht="11.25">
      <c r="A199" s="1855" t="s">
        <v>2391</v>
      </c>
      <c r="B199" s="1855" t="s">
        <v>16</v>
      </c>
      <c r="C199" s="1855" t="s">
        <v>13</v>
      </c>
      <c r="D199" s="1855" t="s">
        <v>45</v>
      </c>
      <c r="E199" s="1855" t="s">
        <v>48</v>
      </c>
      <c r="F199" s="1855" t="s">
        <v>50</v>
      </c>
      <c r="G199" s="1855" t="s">
        <v>22</v>
      </c>
      <c r="H199" s="1855" t="s">
        <v>22</v>
      </c>
      <c r="I199" s="1855" t="s">
        <v>939</v>
      </c>
    </row>
    <row customHeight="1" ht="11.25">
      <c r="A200" s="1855" t="s">
        <v>2391</v>
      </c>
      <c r="B200" s="1855" t="s">
        <v>16</v>
      </c>
      <c r="C200" s="1855" t="s">
        <v>2413</v>
      </c>
      <c r="D200" s="1855" t="s">
        <v>2414</v>
      </c>
      <c r="E200" s="1855" t="s">
        <v>48</v>
      </c>
      <c r="F200" s="1855" t="s">
        <v>2415</v>
      </c>
      <c r="G200" s="1855" t="s">
        <v>22</v>
      </c>
      <c r="H200" s="1855" t="s">
        <v>22</v>
      </c>
      <c r="I200" s="1855" t="s">
        <v>939</v>
      </c>
    </row>
    <row customHeight="1" ht="11.25">
      <c r="A201" s="1855" t="s">
        <v>2391</v>
      </c>
      <c r="B201" s="1855" t="s">
        <v>16</v>
      </c>
      <c r="C201" s="1855" t="s">
        <v>2420</v>
      </c>
      <c r="D201" s="1855" t="s">
        <v>2421</v>
      </c>
      <c r="E201" s="1855" t="s">
        <v>2422</v>
      </c>
      <c r="F201" s="1855" t="s">
        <v>2423</v>
      </c>
      <c r="G201" s="1855" t="s">
        <v>22</v>
      </c>
      <c r="H201" s="1855" t="s">
        <v>22</v>
      </c>
      <c r="I201" s="1855" t="s">
        <v>939</v>
      </c>
    </row>
    <row customHeight="1" ht="11.25">
      <c r="A202" s="1855" t="s">
        <v>2391</v>
      </c>
      <c r="B202" s="1855" t="s">
        <v>16</v>
      </c>
      <c r="C202" s="1855" t="s">
        <v>2439</v>
      </c>
      <c r="D202" s="1855" t="s">
        <v>2440</v>
      </c>
      <c r="E202" s="1855" t="s">
        <v>2441</v>
      </c>
      <c r="F202" s="1855" t="s">
        <v>2442</v>
      </c>
      <c r="G202" s="1855" t="s">
        <v>2443</v>
      </c>
      <c r="H202" s="1855" t="s">
        <v>22</v>
      </c>
      <c r="I202" s="1855" t="s">
        <v>939</v>
      </c>
    </row>
    <row customHeight="1" ht="11.25">
      <c r="A203" s="1855" t="s">
        <v>2391</v>
      </c>
      <c r="B203" s="1855" t="s">
        <v>16</v>
      </c>
      <c r="C203" s="1855" t="s">
        <v>2454</v>
      </c>
      <c r="D203" s="1855" t="s">
        <v>2455</v>
      </c>
      <c r="E203" s="1855" t="s">
        <v>2456</v>
      </c>
      <c r="F203" s="1855" t="s">
        <v>2423</v>
      </c>
      <c r="G203" s="1855" t="s">
        <v>22</v>
      </c>
      <c r="H203" s="1855" t="s">
        <v>22</v>
      </c>
      <c r="I203" s="1855" t="s">
        <v>939</v>
      </c>
    </row>
    <row customHeight="1" ht="11.25">
      <c r="A204" s="1855" t="s">
        <v>2391</v>
      </c>
      <c r="B204" s="1855" t="s">
        <v>16</v>
      </c>
      <c r="C204" s="1855" t="s">
        <v>2460</v>
      </c>
      <c r="D204" s="1855" t="s">
        <v>2461</v>
      </c>
      <c r="E204" s="1855" t="s">
        <v>2456</v>
      </c>
      <c r="F204" s="1855" t="s">
        <v>2462</v>
      </c>
      <c r="G204" s="1855" t="s">
        <v>22</v>
      </c>
      <c r="H204" s="1855" t="s">
        <v>22</v>
      </c>
      <c r="I204" s="1855" t="s">
        <v>939</v>
      </c>
    </row>
    <row customHeight="1" ht="11.25">
      <c r="A205" s="1855" t="s">
        <v>2391</v>
      </c>
      <c r="B205" s="1855" t="s">
        <v>16</v>
      </c>
      <c r="C205" s="1855" t="s">
        <v>2469</v>
      </c>
      <c r="D205" s="1855" t="s">
        <v>2470</v>
      </c>
      <c r="E205" s="1855" t="s">
        <v>2471</v>
      </c>
      <c r="F205" s="1855" t="s">
        <v>592</v>
      </c>
      <c r="G205" s="1855" t="s">
        <v>22</v>
      </c>
      <c r="H205" s="1855" t="s">
        <v>22</v>
      </c>
      <c r="I205" s="1855" t="s">
        <v>939</v>
      </c>
    </row>
    <row customHeight="1" ht="11.25">
      <c r="A206" s="1855" t="s">
        <v>2391</v>
      </c>
      <c r="B206" s="1855" t="s">
        <v>16</v>
      </c>
      <c r="C206" s="1855" t="s">
        <v>2487</v>
      </c>
      <c r="D206" s="1855" t="s">
        <v>2488</v>
      </c>
      <c r="E206" s="1855" t="s">
        <v>2489</v>
      </c>
      <c r="F206" s="1855" t="s">
        <v>2423</v>
      </c>
      <c r="G206" s="1855" t="s">
        <v>22</v>
      </c>
      <c r="H206" s="1855" t="s">
        <v>22</v>
      </c>
      <c r="I206" s="1855" t="s">
        <v>939</v>
      </c>
    </row>
    <row customHeight="1" ht="11.25">
      <c r="A207" s="1855" t="s">
        <v>2391</v>
      </c>
      <c r="B207" s="1855" t="s">
        <v>16</v>
      </c>
      <c r="C207" s="1855" t="s">
        <v>2498</v>
      </c>
      <c r="D207" s="1855" t="s">
        <v>2499</v>
      </c>
      <c r="E207" s="1855" t="s">
        <v>2500</v>
      </c>
      <c r="F207" s="1855" t="s">
        <v>2447</v>
      </c>
      <c r="G207" s="1855" t="s">
        <v>22</v>
      </c>
      <c r="H207" s="1855" t="s">
        <v>22</v>
      </c>
      <c r="I207" s="1855" t="s">
        <v>939</v>
      </c>
    </row>
    <row customHeight="1" ht="11.25">
      <c r="A208" s="1855" t="s">
        <v>2391</v>
      </c>
      <c r="B208" s="1855" t="s">
        <v>16</v>
      </c>
      <c r="C208" s="1855" t="s">
        <v>2501</v>
      </c>
      <c r="D208" s="1855" t="s">
        <v>2502</v>
      </c>
      <c r="E208" s="1855" t="s">
        <v>2503</v>
      </c>
      <c r="F208" s="1855" t="s">
        <v>2486</v>
      </c>
      <c r="G208" s="1855" t="s">
        <v>22</v>
      </c>
      <c r="H208" s="1855" t="s">
        <v>22</v>
      </c>
      <c r="I208" s="1855" t="s">
        <v>939</v>
      </c>
    </row>
    <row customHeight="1" ht="11.25">
      <c r="A209" s="1855" t="s">
        <v>2391</v>
      </c>
      <c r="B209" s="1855" t="s">
        <v>16</v>
      </c>
      <c r="C209" s="1855" t="s">
        <v>2504</v>
      </c>
      <c r="D209" s="1855" t="s">
        <v>2505</v>
      </c>
      <c r="E209" s="1855" t="s">
        <v>2506</v>
      </c>
      <c r="F209" s="1855" t="s">
        <v>2423</v>
      </c>
      <c r="G209" s="1855" t="s">
        <v>22</v>
      </c>
      <c r="H209" s="1855" t="s">
        <v>22</v>
      </c>
      <c r="I209" s="1855" t="s">
        <v>939</v>
      </c>
    </row>
    <row customHeight="1" ht="11.25">
      <c r="A210" s="1855" t="s">
        <v>2391</v>
      </c>
      <c r="B210" s="1855" t="s">
        <v>16</v>
      </c>
      <c r="C210" s="1855" t="s">
        <v>2511</v>
      </c>
      <c r="D210" s="1855" t="s">
        <v>2512</v>
      </c>
      <c r="E210" s="1855" t="s">
        <v>2513</v>
      </c>
      <c r="F210" s="1855" t="s">
        <v>2510</v>
      </c>
      <c r="G210" s="1855" t="s">
        <v>22</v>
      </c>
      <c r="H210" s="1855" t="s">
        <v>22</v>
      </c>
      <c r="I210" s="1855" t="s">
        <v>939</v>
      </c>
    </row>
    <row customHeight="1" ht="11.25">
      <c r="A211" s="1855" t="s">
        <v>2391</v>
      </c>
      <c r="B211" s="1855" t="s">
        <v>16</v>
      </c>
      <c r="C211" s="1855" t="s">
        <v>2526</v>
      </c>
      <c r="D211" s="1855" t="s">
        <v>2527</v>
      </c>
      <c r="E211" s="1855" t="s">
        <v>2528</v>
      </c>
      <c r="F211" s="1855" t="s">
        <v>2529</v>
      </c>
      <c r="G211" s="1855" t="s">
        <v>22</v>
      </c>
      <c r="H211" s="1855" t="s">
        <v>22</v>
      </c>
      <c r="I211" s="1855" t="s">
        <v>939</v>
      </c>
    </row>
    <row customHeight="1" ht="11.25">
      <c r="A212" s="1855" t="s">
        <v>2391</v>
      </c>
      <c r="B212" s="1855" t="s">
        <v>16</v>
      </c>
      <c r="C212" s="1855" t="s">
        <v>2557</v>
      </c>
      <c r="D212" s="1855" t="s">
        <v>2558</v>
      </c>
      <c r="E212" s="1855" t="s">
        <v>2559</v>
      </c>
      <c r="F212" s="1855" t="s">
        <v>2423</v>
      </c>
      <c r="G212" s="1855" t="s">
        <v>22</v>
      </c>
      <c r="H212" s="1855" t="s">
        <v>22</v>
      </c>
      <c r="I212" s="1855" t="s">
        <v>939</v>
      </c>
    </row>
    <row customHeight="1" ht="11.25">
      <c r="A213" s="1855" t="s">
        <v>2391</v>
      </c>
      <c r="B213" s="1855" t="s">
        <v>16</v>
      </c>
      <c r="C213" s="1855" t="s">
        <v>2563</v>
      </c>
      <c r="D213" s="1855" t="s">
        <v>2564</v>
      </c>
      <c r="E213" s="1855" t="s">
        <v>2565</v>
      </c>
      <c r="F213" s="1855" t="s">
        <v>2399</v>
      </c>
      <c r="G213" s="1855" t="s">
        <v>22</v>
      </c>
      <c r="H213" s="1855" t="s">
        <v>22</v>
      </c>
      <c r="I213" s="1855" t="s">
        <v>939</v>
      </c>
    </row>
    <row customHeight="1" ht="11.25">
      <c r="A214" s="1855" t="s">
        <v>2391</v>
      </c>
      <c r="B214" s="1855" t="s">
        <v>16</v>
      </c>
      <c r="C214" s="1855" t="s">
        <v>2572</v>
      </c>
      <c r="D214" s="1855" t="s">
        <v>2573</v>
      </c>
      <c r="E214" s="1855" t="s">
        <v>2574</v>
      </c>
      <c r="F214" s="1855" t="s">
        <v>2403</v>
      </c>
      <c r="G214" s="1855" t="s">
        <v>22</v>
      </c>
      <c r="H214" s="1855" t="s">
        <v>22</v>
      </c>
      <c r="I214" s="1855" t="s">
        <v>939</v>
      </c>
    </row>
    <row customHeight="1" ht="11.25">
      <c r="A215" s="1855" t="s">
        <v>2391</v>
      </c>
      <c r="B215" s="1855" t="s">
        <v>16</v>
      </c>
      <c r="C215" s="1855" t="s">
        <v>2578</v>
      </c>
      <c r="D215" s="1855" t="s">
        <v>2579</v>
      </c>
      <c r="E215" s="1855" t="s">
        <v>2580</v>
      </c>
      <c r="F215" s="1855" t="s">
        <v>2399</v>
      </c>
      <c r="G215" s="1855" t="s">
        <v>22</v>
      </c>
      <c r="H215" s="1855" t="s">
        <v>22</v>
      </c>
      <c r="I215" s="1855" t="s">
        <v>939</v>
      </c>
    </row>
    <row customHeight="1" ht="11.25">
      <c r="A216" s="1855" t="s">
        <v>2391</v>
      </c>
      <c r="B216" s="1855" t="s">
        <v>16</v>
      </c>
      <c r="C216" s="1855" t="s">
        <v>2590</v>
      </c>
      <c r="D216" s="1855" t="s">
        <v>2591</v>
      </c>
      <c r="E216" s="1855" t="s">
        <v>2592</v>
      </c>
      <c r="F216" s="1855" t="s">
        <v>2486</v>
      </c>
      <c r="G216" s="1855" t="s">
        <v>22</v>
      </c>
      <c r="H216" s="1855" t="s">
        <v>22</v>
      </c>
      <c r="I216" s="1855" t="s">
        <v>939</v>
      </c>
    </row>
    <row customHeight="1" ht="11.25">
      <c r="A217" s="1855" t="s">
        <v>2391</v>
      </c>
      <c r="B217" s="1855" t="s">
        <v>16</v>
      </c>
      <c r="C217" s="1855" t="s">
        <v>2593</v>
      </c>
      <c r="D217" s="1855" t="s">
        <v>2594</v>
      </c>
      <c r="E217" s="1855" t="s">
        <v>2595</v>
      </c>
      <c r="F217" s="1855" t="s">
        <v>2596</v>
      </c>
      <c r="G217" s="1855" t="s">
        <v>22</v>
      </c>
      <c r="H217" s="1855" t="s">
        <v>22</v>
      </c>
      <c r="I217" s="1855" t="s">
        <v>939</v>
      </c>
    </row>
    <row customHeight="1" ht="11.25">
      <c r="A218" s="1855" t="s">
        <v>2391</v>
      </c>
      <c r="B218" s="1855" t="s">
        <v>16</v>
      </c>
      <c r="C218" s="1855" t="s">
        <v>2597</v>
      </c>
      <c r="D218" s="1855" t="s">
        <v>2598</v>
      </c>
      <c r="E218" s="1855" t="s">
        <v>2599</v>
      </c>
      <c r="F218" s="1855" t="s">
        <v>2596</v>
      </c>
      <c r="G218" s="1855" t="s">
        <v>22</v>
      </c>
      <c r="H218" s="1855" t="s">
        <v>22</v>
      </c>
      <c r="I218" s="1855" t="s">
        <v>939</v>
      </c>
    </row>
    <row customHeight="1" ht="11.25">
      <c r="A219" s="1855" t="s">
        <v>2391</v>
      </c>
      <c r="B219" s="1855" t="s">
        <v>16</v>
      </c>
      <c r="C219" s="1855" t="s">
        <v>2610</v>
      </c>
      <c r="D219" s="1855" t="s">
        <v>2611</v>
      </c>
      <c r="E219" s="1855" t="s">
        <v>2612</v>
      </c>
      <c r="F219" s="1855" t="s">
        <v>2399</v>
      </c>
      <c r="G219" s="1855" t="s">
        <v>22</v>
      </c>
      <c r="H219" s="1855" t="s">
        <v>22</v>
      </c>
      <c r="I219" s="1855" t="s">
        <v>939</v>
      </c>
    </row>
    <row customHeight="1" ht="11.25">
      <c r="A220" s="1855" t="s">
        <v>2391</v>
      </c>
      <c r="B220" s="1855" t="s">
        <v>16</v>
      </c>
      <c r="C220" s="1855" t="s">
        <v>2620</v>
      </c>
      <c r="D220" s="1855" t="s">
        <v>2621</v>
      </c>
      <c r="E220" s="1855" t="s">
        <v>2622</v>
      </c>
      <c r="F220" s="1855" t="s">
        <v>2623</v>
      </c>
      <c r="G220" s="1855" t="s">
        <v>2624</v>
      </c>
      <c r="H220" s="1855" t="s">
        <v>22</v>
      </c>
      <c r="I220" s="1855" t="s">
        <v>939</v>
      </c>
    </row>
    <row customHeight="1" ht="11.25">
      <c r="A221" s="1855" t="s">
        <v>2391</v>
      </c>
      <c r="B221" s="1855" t="s">
        <v>16</v>
      </c>
      <c r="C221" s="1855" t="s">
        <v>2628</v>
      </c>
      <c r="D221" s="1855" t="s">
        <v>2629</v>
      </c>
      <c r="E221" s="1855" t="s">
        <v>2630</v>
      </c>
      <c r="F221" s="1855" t="s">
        <v>2619</v>
      </c>
      <c r="G221" s="1855" t="s">
        <v>22</v>
      </c>
      <c r="H221" s="1855" t="s">
        <v>22</v>
      </c>
      <c r="I221" s="1855" t="s">
        <v>939</v>
      </c>
    </row>
    <row customHeight="1" ht="11.25">
      <c r="A222" s="1855" t="s">
        <v>2391</v>
      </c>
      <c r="B222" s="1855" t="s">
        <v>16</v>
      </c>
      <c r="C222" s="1855" t="s">
        <v>3029</v>
      </c>
      <c r="D222" s="1855" t="s">
        <v>3030</v>
      </c>
      <c r="E222" s="1855" t="s">
        <v>3031</v>
      </c>
      <c r="F222" s="1855" t="s">
        <v>2623</v>
      </c>
      <c r="G222" s="1855" t="s">
        <v>22</v>
      </c>
      <c r="H222" s="1855" t="s">
        <v>22</v>
      </c>
      <c r="I222" s="1855" t="s">
        <v>939</v>
      </c>
    </row>
    <row customHeight="1" ht="11.25">
      <c r="A223" s="1855" t="s">
        <v>2391</v>
      </c>
      <c r="B223" s="1855" t="s">
        <v>16</v>
      </c>
      <c r="C223" s="1855" t="s">
        <v>3032</v>
      </c>
      <c r="D223" s="1855" t="s">
        <v>3033</v>
      </c>
      <c r="E223" s="1855" t="s">
        <v>3034</v>
      </c>
      <c r="F223" s="1855" t="s">
        <v>2853</v>
      </c>
      <c r="G223" s="1855" t="s">
        <v>22</v>
      </c>
      <c r="H223" s="1855" t="s">
        <v>22</v>
      </c>
      <c r="I223" s="1855" t="s">
        <v>939</v>
      </c>
    </row>
    <row customHeight="1" ht="11.25">
      <c r="A224" s="1855" t="s">
        <v>2391</v>
      </c>
      <c r="B224" s="1855" t="s">
        <v>16</v>
      </c>
      <c r="C224" s="1855" t="s">
        <v>2650</v>
      </c>
      <c r="D224" s="1855" t="s">
        <v>2651</v>
      </c>
      <c r="E224" s="1855" t="s">
        <v>2652</v>
      </c>
      <c r="F224" s="1855" t="s">
        <v>2493</v>
      </c>
      <c r="G224" s="1855" t="s">
        <v>2653</v>
      </c>
      <c r="H224" s="1855" t="s">
        <v>22</v>
      </c>
      <c r="I224" s="1855" t="s">
        <v>939</v>
      </c>
    </row>
    <row customHeight="1" ht="11.25">
      <c r="A225" s="1855" t="s">
        <v>2391</v>
      </c>
      <c r="B225" s="1855" t="s">
        <v>16</v>
      </c>
      <c r="C225" s="1855" t="s">
        <v>2661</v>
      </c>
      <c r="D225" s="1855" t="s">
        <v>2662</v>
      </c>
      <c r="E225" s="1855" t="s">
        <v>2663</v>
      </c>
      <c r="F225" s="1855" t="s">
        <v>2497</v>
      </c>
      <c r="G225" s="1855" t="s">
        <v>22</v>
      </c>
      <c r="H225" s="1855" t="s">
        <v>22</v>
      </c>
      <c r="I225" s="1855" t="s">
        <v>939</v>
      </c>
    </row>
    <row customHeight="1" ht="11.25">
      <c r="A226" s="1855" t="s">
        <v>2391</v>
      </c>
      <c r="B226" s="1855" t="s">
        <v>16</v>
      </c>
      <c r="C226" s="1855" t="s">
        <v>2664</v>
      </c>
      <c r="D226" s="1855" t="s">
        <v>2665</v>
      </c>
      <c r="E226" s="1855" t="s">
        <v>2666</v>
      </c>
      <c r="F226" s="1855" t="s">
        <v>2667</v>
      </c>
      <c r="G226" s="1855" t="s">
        <v>22</v>
      </c>
      <c r="H226" s="1855" t="s">
        <v>22</v>
      </c>
      <c r="I226" s="1855" t="s">
        <v>939</v>
      </c>
    </row>
    <row customHeight="1" ht="11.25">
      <c r="A227" s="1855" t="s">
        <v>2391</v>
      </c>
      <c r="B227" s="1855" t="s">
        <v>16</v>
      </c>
      <c r="C227" s="1855" t="s">
        <v>2671</v>
      </c>
      <c r="D227" s="1855" t="s">
        <v>2672</v>
      </c>
      <c r="E227" s="1855" t="s">
        <v>2673</v>
      </c>
      <c r="F227" s="1855" t="s">
        <v>2399</v>
      </c>
      <c r="G227" s="1855" t="s">
        <v>2674</v>
      </c>
      <c r="H227" s="1855" t="s">
        <v>22</v>
      </c>
      <c r="I227" s="1855" t="s">
        <v>939</v>
      </c>
    </row>
    <row customHeight="1" ht="11.25">
      <c r="A228" s="1855" t="s">
        <v>2391</v>
      </c>
      <c r="B228" s="1855" t="s">
        <v>16</v>
      </c>
      <c r="C228" s="1855" t="s">
        <v>2684</v>
      </c>
      <c r="D228" s="1855" t="s">
        <v>2685</v>
      </c>
      <c r="E228" s="1855" t="s">
        <v>2686</v>
      </c>
      <c r="F228" s="1855" t="s">
        <v>2423</v>
      </c>
      <c r="G228" s="1855" t="s">
        <v>2687</v>
      </c>
      <c r="H228" s="1855" t="s">
        <v>22</v>
      </c>
      <c r="I228" s="1855" t="s">
        <v>939</v>
      </c>
    </row>
    <row customHeight="1" ht="11.25">
      <c r="A229" s="1855" t="s">
        <v>2391</v>
      </c>
      <c r="B229" s="1855" t="s">
        <v>16</v>
      </c>
      <c r="C229" s="1855" t="s">
        <v>2688</v>
      </c>
      <c r="D229" s="1855" t="s">
        <v>2689</v>
      </c>
      <c r="E229" s="1855" t="s">
        <v>2690</v>
      </c>
      <c r="F229" s="1855" t="s">
        <v>2399</v>
      </c>
      <c r="G229" s="1855" t="s">
        <v>2691</v>
      </c>
      <c r="H229" s="1855" t="s">
        <v>22</v>
      </c>
      <c r="I229" s="1855" t="s">
        <v>939</v>
      </c>
    </row>
    <row customHeight="1" ht="11.25">
      <c r="A230" s="1855" t="s">
        <v>2391</v>
      </c>
      <c r="B230" s="1855" t="s">
        <v>16</v>
      </c>
      <c r="C230" s="1855" t="s">
        <v>2699</v>
      </c>
      <c r="D230" s="1855" t="s">
        <v>2700</v>
      </c>
      <c r="E230" s="1855" t="s">
        <v>2701</v>
      </c>
      <c r="F230" s="1855" t="s">
        <v>2403</v>
      </c>
      <c r="G230" s="1855" t="s">
        <v>22</v>
      </c>
      <c r="H230" s="1855" t="s">
        <v>22</v>
      </c>
      <c r="I230" s="1855" t="s">
        <v>939</v>
      </c>
    </row>
    <row customHeight="1" ht="11.25">
      <c r="A231" s="1855" t="s">
        <v>2391</v>
      </c>
      <c r="B231" s="1855" t="s">
        <v>16</v>
      </c>
      <c r="C231" s="1855" t="s">
        <v>2702</v>
      </c>
      <c r="D231" s="1855" t="s">
        <v>2703</v>
      </c>
      <c r="E231" s="1855" t="s">
        <v>2704</v>
      </c>
      <c r="F231" s="1855" t="s">
        <v>2525</v>
      </c>
      <c r="G231" s="1855" t="s">
        <v>2705</v>
      </c>
      <c r="H231" s="1855" t="s">
        <v>22</v>
      </c>
      <c r="I231" s="1855" t="s">
        <v>939</v>
      </c>
    </row>
    <row customHeight="1" ht="11.25">
      <c r="A232" s="1855" t="s">
        <v>2391</v>
      </c>
      <c r="B232" s="1855" t="s">
        <v>16</v>
      </c>
      <c r="C232" s="1855" t="s">
        <v>2723</v>
      </c>
      <c r="D232" s="1855" t="s">
        <v>2724</v>
      </c>
      <c r="E232" s="1855" t="s">
        <v>2725</v>
      </c>
      <c r="F232" s="1855" t="s">
        <v>2486</v>
      </c>
      <c r="G232" s="1855" t="s">
        <v>22</v>
      </c>
      <c r="H232" s="1855" t="s">
        <v>22</v>
      </c>
      <c r="I232" s="1855" t="s">
        <v>939</v>
      </c>
    </row>
    <row customHeight="1" ht="11.25">
      <c r="A233" s="1855" t="s">
        <v>2391</v>
      </c>
      <c r="B233" s="1855" t="s">
        <v>16</v>
      </c>
      <c r="C233" s="1855" t="s">
        <v>2739</v>
      </c>
      <c r="D233" s="1855" t="s">
        <v>2740</v>
      </c>
      <c r="E233" s="1855" t="s">
        <v>2741</v>
      </c>
      <c r="F233" s="1855" t="s">
        <v>2427</v>
      </c>
      <c r="G233" s="1855" t="s">
        <v>22</v>
      </c>
      <c r="H233" s="1855" t="s">
        <v>22</v>
      </c>
      <c r="I233" s="1855" t="s">
        <v>939</v>
      </c>
    </row>
    <row customHeight="1" ht="11.25">
      <c r="A234" s="1855" t="s">
        <v>2391</v>
      </c>
      <c r="B234" s="1855" t="s">
        <v>16</v>
      </c>
      <c r="C234" s="1855" t="s">
        <v>2750</v>
      </c>
      <c r="D234" s="1855" t="s">
        <v>2751</v>
      </c>
      <c r="E234" s="1855" t="s">
        <v>2752</v>
      </c>
      <c r="F234" s="1855" t="s">
        <v>2399</v>
      </c>
      <c r="G234" s="1855" t="s">
        <v>22</v>
      </c>
      <c r="H234" s="1855" t="s">
        <v>22</v>
      </c>
      <c r="I234" s="1855" t="s">
        <v>939</v>
      </c>
    </row>
    <row customHeight="1" ht="11.25">
      <c r="A235" s="1855" t="s">
        <v>2391</v>
      </c>
      <c r="B235" s="1855" t="s">
        <v>16</v>
      </c>
      <c r="C235" s="1855" t="s">
        <v>2753</v>
      </c>
      <c r="D235" s="1855" t="s">
        <v>2754</v>
      </c>
      <c r="E235" s="1855" t="s">
        <v>2755</v>
      </c>
      <c r="F235" s="1855" t="s">
        <v>2399</v>
      </c>
      <c r="G235" s="1855" t="s">
        <v>2756</v>
      </c>
      <c r="H235" s="1855" t="s">
        <v>22</v>
      </c>
      <c r="I235" s="1855" t="s">
        <v>939</v>
      </c>
    </row>
    <row customHeight="1" ht="11.25">
      <c r="A236" s="1855" t="s">
        <v>2391</v>
      </c>
      <c r="B236" s="1855" t="s">
        <v>16</v>
      </c>
      <c r="C236" s="1855" t="s">
        <v>2770</v>
      </c>
      <c r="D236" s="1855" t="s">
        <v>2771</v>
      </c>
      <c r="E236" s="1855" t="s">
        <v>2772</v>
      </c>
      <c r="F236" s="1855" t="s">
        <v>2510</v>
      </c>
      <c r="G236" s="1855" t="s">
        <v>22</v>
      </c>
      <c r="H236" s="1855" t="s">
        <v>22</v>
      </c>
      <c r="I236" s="1855" t="s">
        <v>939</v>
      </c>
    </row>
    <row customHeight="1" ht="11.25">
      <c r="A237" s="1855" t="s">
        <v>2391</v>
      </c>
      <c r="B237" s="1855" t="s">
        <v>16</v>
      </c>
      <c r="C237" s="1855" t="s">
        <v>2776</v>
      </c>
      <c r="D237" s="1855" t="s">
        <v>2777</v>
      </c>
      <c r="E237" s="1855" t="s">
        <v>2778</v>
      </c>
      <c r="F237" s="1855" t="s">
        <v>2779</v>
      </c>
      <c r="G237" s="1855" t="s">
        <v>22</v>
      </c>
      <c r="H237" s="1855" t="s">
        <v>22</v>
      </c>
      <c r="I237" s="1855" t="s">
        <v>939</v>
      </c>
    </row>
    <row customHeight="1" ht="11.25">
      <c r="A238" s="1855" t="s">
        <v>2391</v>
      </c>
      <c r="B238" s="1855" t="s">
        <v>16</v>
      </c>
      <c r="C238" s="1855" t="s">
        <v>2787</v>
      </c>
      <c r="D238" s="1855" t="s">
        <v>2788</v>
      </c>
      <c r="E238" s="1855" t="s">
        <v>2789</v>
      </c>
      <c r="F238" s="1855" t="s">
        <v>2623</v>
      </c>
      <c r="G238" s="1855" t="s">
        <v>22</v>
      </c>
      <c r="H238" s="1855" t="s">
        <v>22</v>
      </c>
      <c r="I238" s="1855" t="s">
        <v>939</v>
      </c>
    </row>
    <row customHeight="1" ht="11.25">
      <c r="A239" s="1855" t="s">
        <v>2391</v>
      </c>
      <c r="B239" s="1855" t="s">
        <v>16</v>
      </c>
      <c r="C239" s="1855" t="s">
        <v>2793</v>
      </c>
      <c r="D239" s="1855" t="s">
        <v>2794</v>
      </c>
      <c r="E239" s="1855" t="s">
        <v>2795</v>
      </c>
      <c r="F239" s="1855" t="s">
        <v>2399</v>
      </c>
      <c r="G239" s="1855" t="s">
        <v>22</v>
      </c>
      <c r="H239" s="1855" t="s">
        <v>22</v>
      </c>
      <c r="I239" s="1855" t="s">
        <v>939</v>
      </c>
    </row>
    <row customHeight="1" ht="11.25">
      <c r="A240" s="1855" t="s">
        <v>2391</v>
      </c>
      <c r="B240" s="1855" t="s">
        <v>16</v>
      </c>
      <c r="C240" s="1855" t="s">
        <v>2808</v>
      </c>
      <c r="D240" s="1855" t="s">
        <v>2809</v>
      </c>
      <c r="E240" s="1855" t="s">
        <v>2810</v>
      </c>
      <c r="F240" s="1855" t="s">
        <v>2399</v>
      </c>
      <c r="G240" s="1855" t="s">
        <v>2811</v>
      </c>
      <c r="H240" s="1855" t="s">
        <v>22</v>
      </c>
      <c r="I240" s="1855" t="s">
        <v>939</v>
      </c>
    </row>
    <row customHeight="1" ht="11.25">
      <c r="A241" s="1855" t="s">
        <v>2391</v>
      </c>
      <c r="B241" s="1855" t="s">
        <v>16</v>
      </c>
      <c r="C241" s="1855" t="s">
        <v>2829</v>
      </c>
      <c r="D241" s="1855" t="s">
        <v>2830</v>
      </c>
      <c r="E241" s="1855" t="s">
        <v>2831</v>
      </c>
      <c r="F241" s="1855" t="s">
        <v>2399</v>
      </c>
      <c r="G241" s="1855" t="s">
        <v>22</v>
      </c>
      <c r="H241" s="1855" t="s">
        <v>22</v>
      </c>
      <c r="I241" s="1855" t="s">
        <v>939</v>
      </c>
    </row>
    <row customHeight="1" ht="11.25">
      <c r="A242" s="1855" t="s">
        <v>2391</v>
      </c>
      <c r="B242" s="1855" t="s">
        <v>16</v>
      </c>
      <c r="C242" s="1855" t="s">
        <v>2832</v>
      </c>
      <c r="D242" s="1855" t="s">
        <v>2830</v>
      </c>
      <c r="E242" s="1855" t="s">
        <v>2831</v>
      </c>
      <c r="F242" s="1855" t="s">
        <v>2510</v>
      </c>
      <c r="G242" s="1855" t="s">
        <v>2833</v>
      </c>
      <c r="H242" s="1855" t="s">
        <v>22</v>
      </c>
      <c r="I242" s="1855" t="s">
        <v>939</v>
      </c>
    </row>
    <row customHeight="1" ht="11.25">
      <c r="A243" s="1855" t="s">
        <v>2391</v>
      </c>
      <c r="B243" s="1855" t="s">
        <v>16</v>
      </c>
      <c r="C243" s="1855" t="s">
        <v>2837</v>
      </c>
      <c r="D243" s="1855" t="s">
        <v>2838</v>
      </c>
      <c r="E243" s="1855" t="s">
        <v>2839</v>
      </c>
      <c r="F243" s="1855" t="s">
        <v>2399</v>
      </c>
      <c r="G243" s="1855" t="s">
        <v>22</v>
      </c>
      <c r="H243" s="1855" t="s">
        <v>22</v>
      </c>
      <c r="I243" s="1855" t="s">
        <v>939</v>
      </c>
    </row>
    <row customHeight="1" ht="11.25">
      <c r="A244" s="1855" t="s">
        <v>2391</v>
      </c>
      <c r="B244" s="1855" t="s">
        <v>16</v>
      </c>
      <c r="C244" s="1855" t="s">
        <v>2850</v>
      </c>
      <c r="D244" s="1855" t="s">
        <v>2851</v>
      </c>
      <c r="E244" s="1855" t="s">
        <v>2852</v>
      </c>
      <c r="F244" s="1855" t="s">
        <v>2853</v>
      </c>
      <c r="G244" s="1855" t="s">
        <v>22</v>
      </c>
      <c r="H244" s="1855" t="s">
        <v>22</v>
      </c>
      <c r="I244" s="1855" t="s">
        <v>939</v>
      </c>
    </row>
    <row customHeight="1" ht="11.25">
      <c r="A245" s="1855" t="s">
        <v>2391</v>
      </c>
      <c r="B245" s="1855" t="s">
        <v>16</v>
      </c>
      <c r="C245" s="1855" t="s">
        <v>2854</v>
      </c>
      <c r="D245" s="1855" t="s">
        <v>2855</v>
      </c>
      <c r="E245" s="1855" t="s">
        <v>2856</v>
      </c>
      <c r="F245" s="1855" t="s">
        <v>2475</v>
      </c>
      <c r="G245" s="1855" t="s">
        <v>22</v>
      </c>
      <c r="H245" s="1855" t="s">
        <v>22</v>
      </c>
      <c r="I245" s="1855" t="s">
        <v>939</v>
      </c>
    </row>
    <row customHeight="1" ht="11.25">
      <c r="A246" s="1855" t="s">
        <v>2391</v>
      </c>
      <c r="B246" s="1855" t="s">
        <v>16</v>
      </c>
      <c r="C246" s="1855" t="s">
        <v>2866</v>
      </c>
      <c r="D246" s="1855" t="s">
        <v>2867</v>
      </c>
      <c r="E246" s="1855" t="s">
        <v>2868</v>
      </c>
      <c r="F246" s="1855" t="s">
        <v>2399</v>
      </c>
      <c r="G246" s="1855" t="s">
        <v>22</v>
      </c>
      <c r="H246" s="1855" t="s">
        <v>22</v>
      </c>
      <c r="I246" s="1855" t="s">
        <v>939</v>
      </c>
    </row>
    <row customHeight="1" ht="11.25">
      <c r="A247" s="1855" t="s">
        <v>2391</v>
      </c>
      <c r="B247" s="1855" t="s">
        <v>16</v>
      </c>
      <c r="C247" s="1855" t="s">
        <v>2876</v>
      </c>
      <c r="D247" s="1855" t="s">
        <v>2877</v>
      </c>
      <c r="E247" s="1855" t="s">
        <v>2878</v>
      </c>
      <c r="F247" s="1855" t="s">
        <v>2399</v>
      </c>
      <c r="G247" s="1855" t="s">
        <v>22</v>
      </c>
      <c r="H247" s="1855" t="s">
        <v>22</v>
      </c>
      <c r="I247" s="1855" t="s">
        <v>939</v>
      </c>
    </row>
    <row customHeight="1" ht="11.25">
      <c r="A248" s="1855" t="s">
        <v>2391</v>
      </c>
      <c r="B248" s="1855" t="s">
        <v>16</v>
      </c>
      <c r="C248" s="1855" t="s">
        <v>2885</v>
      </c>
      <c r="D248" s="1855" t="s">
        <v>2886</v>
      </c>
      <c r="E248" s="1855" t="s">
        <v>2887</v>
      </c>
      <c r="F248" s="1855" t="s">
        <v>2525</v>
      </c>
      <c r="G248" s="1855" t="s">
        <v>2888</v>
      </c>
      <c r="H248" s="1855" t="s">
        <v>22</v>
      </c>
      <c r="I248" s="1855" t="s">
        <v>939</v>
      </c>
    </row>
    <row customHeight="1" ht="11.25">
      <c r="A249" s="1855" t="s">
        <v>2391</v>
      </c>
      <c r="B249" s="1855" t="s">
        <v>16</v>
      </c>
      <c r="C249" s="1855" t="s">
        <v>2889</v>
      </c>
      <c r="D249" s="1855" t="s">
        <v>2890</v>
      </c>
      <c r="E249" s="1855" t="s">
        <v>2891</v>
      </c>
      <c r="F249" s="1855" t="s">
        <v>2447</v>
      </c>
      <c r="G249" s="1855" t="s">
        <v>22</v>
      </c>
      <c r="H249" s="1855" t="s">
        <v>22</v>
      </c>
      <c r="I249" s="1855" t="s">
        <v>939</v>
      </c>
    </row>
    <row customHeight="1" ht="11.25">
      <c r="A250" s="1855" t="s">
        <v>2391</v>
      </c>
      <c r="B250" s="1855" t="s">
        <v>16</v>
      </c>
      <c r="C250" s="1855" t="s">
        <v>2892</v>
      </c>
      <c r="D250" s="1855" t="s">
        <v>2893</v>
      </c>
      <c r="E250" s="1855" t="s">
        <v>2894</v>
      </c>
      <c r="F250" s="1855" t="s">
        <v>2486</v>
      </c>
      <c r="G250" s="1855" t="s">
        <v>22</v>
      </c>
      <c r="H250" s="1855" t="s">
        <v>22</v>
      </c>
      <c r="I250" s="1855" t="s">
        <v>939</v>
      </c>
    </row>
    <row customHeight="1" ht="11.25">
      <c r="A251" s="1855" t="s">
        <v>2391</v>
      </c>
      <c r="B251" s="1855" t="s">
        <v>16</v>
      </c>
      <c r="C251" s="1855" t="s">
        <v>2895</v>
      </c>
      <c r="D251" s="1855" t="s">
        <v>2896</v>
      </c>
      <c r="E251" s="1855" t="s">
        <v>2897</v>
      </c>
      <c r="F251" s="1855" t="s">
        <v>2493</v>
      </c>
      <c r="G251" s="1855" t="s">
        <v>22</v>
      </c>
      <c r="H251" s="1855" t="s">
        <v>22</v>
      </c>
      <c r="I251" s="1855" t="s">
        <v>939</v>
      </c>
    </row>
    <row customHeight="1" ht="11.25">
      <c r="A252" s="1855" t="s">
        <v>2391</v>
      </c>
      <c r="B252" s="1855" t="s">
        <v>16</v>
      </c>
      <c r="C252" s="1855" t="s">
        <v>2901</v>
      </c>
      <c r="D252" s="1855" t="s">
        <v>2902</v>
      </c>
      <c r="E252" s="1855" t="s">
        <v>2903</v>
      </c>
      <c r="F252" s="1855" t="s">
        <v>2619</v>
      </c>
      <c r="G252" s="1855" t="s">
        <v>22</v>
      </c>
      <c r="H252" s="1855" t="s">
        <v>22</v>
      </c>
      <c r="I252" s="1855" t="s">
        <v>939</v>
      </c>
    </row>
    <row customHeight="1" ht="11.25">
      <c r="A253" s="1855" t="s">
        <v>2391</v>
      </c>
      <c r="B253" s="1855" t="s">
        <v>16</v>
      </c>
      <c r="C253" s="1855" t="s">
        <v>2907</v>
      </c>
      <c r="D253" s="1855" t="s">
        <v>2908</v>
      </c>
      <c r="E253" s="1855" t="s">
        <v>2909</v>
      </c>
      <c r="F253" s="1855" t="s">
        <v>2486</v>
      </c>
      <c r="G253" s="1855" t="s">
        <v>22</v>
      </c>
      <c r="H253" s="1855" t="s">
        <v>22</v>
      </c>
      <c r="I253" s="1855" t="s">
        <v>939</v>
      </c>
    </row>
    <row customHeight="1" ht="11.25">
      <c r="A254" s="1855" t="s">
        <v>2391</v>
      </c>
      <c r="B254" s="1855" t="s">
        <v>16</v>
      </c>
      <c r="C254" s="1855" t="s">
        <v>2910</v>
      </c>
      <c r="D254" s="1855" t="s">
        <v>2908</v>
      </c>
      <c r="E254" s="1855" t="s">
        <v>2911</v>
      </c>
      <c r="F254" s="1855" t="s">
        <v>2427</v>
      </c>
      <c r="G254" s="1855" t="s">
        <v>22</v>
      </c>
      <c r="H254" s="1855" t="s">
        <v>22</v>
      </c>
      <c r="I254" s="1855" t="s">
        <v>939</v>
      </c>
    </row>
    <row customHeight="1" ht="11.25">
      <c r="A255" s="1855" t="s">
        <v>2391</v>
      </c>
      <c r="B255" s="1855" t="s">
        <v>16</v>
      </c>
      <c r="C255" s="1855" t="s">
        <v>2915</v>
      </c>
      <c r="D255" s="1855" t="s">
        <v>2916</v>
      </c>
      <c r="E255" s="1855" t="s">
        <v>2917</v>
      </c>
      <c r="F255" s="1855" t="s">
        <v>2399</v>
      </c>
      <c r="G255" s="1855" t="s">
        <v>22</v>
      </c>
      <c r="H255" s="1855" t="s">
        <v>22</v>
      </c>
      <c r="I255" s="1855" t="s">
        <v>939</v>
      </c>
    </row>
    <row customHeight="1" ht="11.25">
      <c r="A256" s="1855" t="s">
        <v>2391</v>
      </c>
      <c r="B256" s="1855" t="s">
        <v>16</v>
      </c>
      <c r="C256" s="1855" t="s">
        <v>2924</v>
      </c>
      <c r="D256" s="1855" t="s">
        <v>2925</v>
      </c>
      <c r="E256" s="1855" t="s">
        <v>2926</v>
      </c>
      <c r="F256" s="1855" t="s">
        <v>2853</v>
      </c>
      <c r="G256" s="1855" t="s">
        <v>22</v>
      </c>
      <c r="H256" s="1855" t="s">
        <v>22</v>
      </c>
      <c r="I256" s="1855" t="s">
        <v>939</v>
      </c>
    </row>
    <row customHeight="1" ht="11.25">
      <c r="A257" s="1855" t="s">
        <v>2391</v>
      </c>
      <c r="B257" s="1855" t="s">
        <v>16</v>
      </c>
      <c r="C257" s="1855" t="s">
        <v>2934</v>
      </c>
      <c r="D257" s="1855" t="s">
        <v>2935</v>
      </c>
      <c r="E257" s="1855" t="s">
        <v>2936</v>
      </c>
      <c r="F257" s="1855" t="s">
        <v>2667</v>
      </c>
      <c r="G257" s="1855" t="s">
        <v>22</v>
      </c>
      <c r="H257" s="1855" t="s">
        <v>22</v>
      </c>
      <c r="I257" s="1855" t="s">
        <v>939</v>
      </c>
    </row>
    <row customHeight="1" ht="11.25">
      <c r="A258" s="1855" t="s">
        <v>2391</v>
      </c>
      <c r="B258" s="1855" t="s">
        <v>16</v>
      </c>
      <c r="C258" s="1855" t="s">
        <v>2937</v>
      </c>
      <c r="D258" s="1855" t="s">
        <v>2938</v>
      </c>
      <c r="E258" s="1855" t="s">
        <v>2939</v>
      </c>
      <c r="F258" s="1855" t="s">
        <v>2525</v>
      </c>
      <c r="G258" s="1855" t="s">
        <v>22</v>
      </c>
      <c r="H258" s="1855" t="s">
        <v>22</v>
      </c>
      <c r="I258" s="1855" t="s">
        <v>939</v>
      </c>
    </row>
    <row customHeight="1" ht="11.25">
      <c r="A259" s="1855" t="s">
        <v>2391</v>
      </c>
      <c r="B259" s="1855" t="s">
        <v>16</v>
      </c>
      <c r="C259" s="1855" t="s">
        <v>2969</v>
      </c>
      <c r="D259" s="1855" t="s">
        <v>2970</v>
      </c>
      <c r="E259" s="1855" t="s">
        <v>2971</v>
      </c>
      <c r="F259" s="1855" t="s">
        <v>2475</v>
      </c>
      <c r="G259" s="1855" t="s">
        <v>22</v>
      </c>
      <c r="H259" s="1855" t="s">
        <v>22</v>
      </c>
      <c r="I259" s="1855" t="s">
        <v>939</v>
      </c>
    </row>
    <row customHeight="1" ht="11.25">
      <c r="A260" s="1855" t="s">
        <v>2391</v>
      </c>
      <c r="B260" s="1855" t="s">
        <v>16</v>
      </c>
      <c r="C260" s="1855" t="s">
        <v>2972</v>
      </c>
      <c r="D260" s="1855" t="s">
        <v>2973</v>
      </c>
      <c r="E260" s="1855" t="s">
        <v>2974</v>
      </c>
      <c r="F260" s="1855" t="s">
        <v>2442</v>
      </c>
      <c r="G260" s="1855" t="s">
        <v>22</v>
      </c>
      <c r="H260" s="1855" t="s">
        <v>22</v>
      </c>
      <c r="I260" s="1855" t="s">
        <v>939</v>
      </c>
    </row>
    <row customHeight="1" ht="11.25">
      <c r="A261" s="1855" t="s">
        <v>2391</v>
      </c>
      <c r="B261" s="1855" t="s">
        <v>16</v>
      </c>
      <c r="C261" s="1855" t="s">
        <v>2992</v>
      </c>
      <c r="D261" s="1855" t="s">
        <v>2993</v>
      </c>
      <c r="E261" s="1855" t="s">
        <v>2994</v>
      </c>
      <c r="F261" s="1855" t="s">
        <v>2995</v>
      </c>
      <c r="G261" s="1855" t="s">
        <v>22</v>
      </c>
      <c r="H261" s="1855" t="s">
        <v>22</v>
      </c>
      <c r="I261" s="1855" t="s">
        <v>939</v>
      </c>
    </row>
    <row customHeight="1" ht="11.25">
      <c r="A262" s="1855" t="s">
        <v>2391</v>
      </c>
      <c r="B262" s="1855" t="s">
        <v>16</v>
      </c>
      <c r="C262" s="1855" t="s">
        <v>22</v>
      </c>
      <c r="D262" s="1855" t="s">
        <v>2996</v>
      </c>
      <c r="E262" s="1855" t="s">
        <v>2997</v>
      </c>
      <c r="F262" s="1855" t="s">
        <v>2399</v>
      </c>
      <c r="G262" s="1855" t="s">
        <v>22</v>
      </c>
      <c r="H262" s="1855" t="s">
        <v>22</v>
      </c>
      <c r="I262" s="1855" t="s">
        <v>939</v>
      </c>
    </row>
    <row customHeight="1" ht="11.25">
      <c r="A263" s="1855" t="s">
        <v>2391</v>
      </c>
      <c r="B263" s="1855" t="s">
        <v>16</v>
      </c>
      <c r="C263" s="1855" t="s">
        <v>3009</v>
      </c>
      <c r="D263" s="1855" t="s">
        <v>3010</v>
      </c>
      <c r="E263" s="1855" t="s">
        <v>2394</v>
      </c>
      <c r="F263" s="1855" t="s">
        <v>2399</v>
      </c>
      <c r="G263" s="1855" t="s">
        <v>22</v>
      </c>
      <c r="H263" s="1855" t="s">
        <v>22</v>
      </c>
      <c r="I263" s="1855" t="s">
        <v>939</v>
      </c>
    </row>
    <row customHeight="1" ht="11.25">
      <c r="A264" s="1855" t="s">
        <v>2391</v>
      </c>
      <c r="B264" s="1855" t="s">
        <v>16</v>
      </c>
      <c r="C264" s="1855" t="s">
        <v>3022</v>
      </c>
      <c r="D264" s="1855" t="s">
        <v>3023</v>
      </c>
      <c r="E264" s="1855" t="s">
        <v>3024</v>
      </c>
      <c r="F264" s="1855" t="s">
        <v>2415</v>
      </c>
      <c r="G264" s="1855" t="s">
        <v>22</v>
      </c>
      <c r="H264" s="1855" t="s">
        <v>22</v>
      </c>
      <c r="I264" s="1855" t="s">
        <v>939</v>
      </c>
    </row>
    <row customHeight="1" ht="11.25">
      <c r="A265" s="1855" t="s">
        <v>2391</v>
      </c>
      <c r="B265" s="1855" t="s">
        <v>16</v>
      </c>
      <c r="C265" s="1855" t="s">
        <v>2392</v>
      </c>
      <c r="D265" s="1855" t="s">
        <v>2393</v>
      </c>
      <c r="E265" s="1855" t="s">
        <v>2394</v>
      </c>
      <c r="F265" s="1855" t="s">
        <v>2395</v>
      </c>
      <c r="G265" s="1855" t="s">
        <v>22</v>
      </c>
      <c r="H265" s="1855" t="s">
        <v>22</v>
      </c>
      <c r="I265" s="1855" t="s">
        <v>899</v>
      </c>
    </row>
    <row customHeight="1" ht="11.25">
      <c r="A266" s="1855" t="s">
        <v>2391</v>
      </c>
      <c r="B266" s="1855" t="s">
        <v>16</v>
      </c>
      <c r="C266" s="1855" t="s">
        <v>2396</v>
      </c>
      <c r="D266" s="1855" t="s">
        <v>2397</v>
      </c>
      <c r="E266" s="1855" t="s">
        <v>2398</v>
      </c>
      <c r="F266" s="1855" t="s">
        <v>2399</v>
      </c>
      <c r="G266" s="1855" t="s">
        <v>22</v>
      </c>
      <c r="H266" s="1855" t="s">
        <v>22</v>
      </c>
      <c r="I266" s="1855" t="s">
        <v>899</v>
      </c>
    </row>
    <row customHeight="1" ht="11.25">
      <c r="A267" s="1855" t="s">
        <v>2391</v>
      </c>
      <c r="B267" s="1855" t="s">
        <v>16</v>
      </c>
      <c r="C267" s="1855" t="s">
        <v>13</v>
      </c>
      <c r="D267" s="1855" t="s">
        <v>45</v>
      </c>
      <c r="E267" s="1855" t="s">
        <v>48</v>
      </c>
      <c r="F267" s="1855" t="s">
        <v>50</v>
      </c>
      <c r="G267" s="1855" t="s">
        <v>22</v>
      </c>
      <c r="H267" s="1855" t="s">
        <v>22</v>
      </c>
      <c r="I267" s="1855" t="s">
        <v>899</v>
      </c>
    </row>
    <row customHeight="1" ht="11.25">
      <c r="A268" s="1855" t="s">
        <v>2391</v>
      </c>
      <c r="B268" s="1855" t="s">
        <v>16</v>
      </c>
      <c r="C268" s="1855" t="s">
        <v>2413</v>
      </c>
      <c r="D268" s="1855" t="s">
        <v>2414</v>
      </c>
      <c r="E268" s="1855" t="s">
        <v>48</v>
      </c>
      <c r="F268" s="1855" t="s">
        <v>2415</v>
      </c>
      <c r="G268" s="1855" t="s">
        <v>22</v>
      </c>
      <c r="H268" s="1855" t="s">
        <v>22</v>
      </c>
      <c r="I268" s="1855" t="s">
        <v>899</v>
      </c>
    </row>
    <row customHeight="1" ht="11.25">
      <c r="A269" s="1855" t="s">
        <v>2391</v>
      </c>
      <c r="B269" s="1855" t="s">
        <v>16</v>
      </c>
      <c r="C269" s="1855" t="s">
        <v>2416</v>
      </c>
      <c r="D269" s="1855" t="s">
        <v>2417</v>
      </c>
      <c r="E269" s="1855" t="s">
        <v>2418</v>
      </c>
      <c r="F269" s="1855" t="s">
        <v>2419</v>
      </c>
      <c r="G269" s="1855" t="s">
        <v>22</v>
      </c>
      <c r="H269" s="1855" t="s">
        <v>22</v>
      </c>
      <c r="I269" s="1855" t="s">
        <v>899</v>
      </c>
    </row>
    <row customHeight="1" ht="11.25">
      <c r="A270" s="1855" t="s">
        <v>2391</v>
      </c>
      <c r="B270" s="1855" t="s">
        <v>16</v>
      </c>
      <c r="C270" s="1855" t="s">
        <v>2420</v>
      </c>
      <c r="D270" s="1855" t="s">
        <v>2421</v>
      </c>
      <c r="E270" s="1855" t="s">
        <v>2422</v>
      </c>
      <c r="F270" s="1855" t="s">
        <v>2423</v>
      </c>
      <c r="G270" s="1855" t="s">
        <v>22</v>
      </c>
      <c r="H270" s="1855" t="s">
        <v>22</v>
      </c>
      <c r="I270" s="1855" t="s">
        <v>899</v>
      </c>
    </row>
    <row customHeight="1" ht="11.25">
      <c r="A271" s="1855" t="s">
        <v>2391</v>
      </c>
      <c r="B271" s="1855" t="s">
        <v>16</v>
      </c>
      <c r="C271" s="1855" t="s">
        <v>2424</v>
      </c>
      <c r="D271" s="1855" t="s">
        <v>2425</v>
      </c>
      <c r="E271" s="1855" t="s">
        <v>2426</v>
      </c>
      <c r="F271" s="1855" t="s">
        <v>2427</v>
      </c>
      <c r="G271" s="1855" t="s">
        <v>22</v>
      </c>
      <c r="H271" s="1855" t="s">
        <v>22</v>
      </c>
      <c r="I271" s="1855" t="s">
        <v>899</v>
      </c>
    </row>
    <row customHeight="1" ht="11.25">
      <c r="A272" s="1855" t="s">
        <v>2391</v>
      </c>
      <c r="B272" s="1855" t="s">
        <v>16</v>
      </c>
      <c r="C272" s="1855" t="s">
        <v>2428</v>
      </c>
      <c r="D272" s="1855" t="s">
        <v>2429</v>
      </c>
      <c r="E272" s="1855" t="s">
        <v>2430</v>
      </c>
      <c r="F272" s="1855" t="s">
        <v>2431</v>
      </c>
      <c r="G272" s="1855" t="s">
        <v>22</v>
      </c>
      <c r="H272" s="1855" t="s">
        <v>22</v>
      </c>
      <c r="I272" s="1855" t="s">
        <v>899</v>
      </c>
    </row>
    <row customHeight="1" ht="11.25">
      <c r="A273" s="1855" t="s">
        <v>2391</v>
      </c>
      <c r="B273" s="1855" t="s">
        <v>16</v>
      </c>
      <c r="C273" s="1855" t="s">
        <v>3035</v>
      </c>
      <c r="D273" s="1855" t="s">
        <v>3036</v>
      </c>
      <c r="E273" s="1855" t="s">
        <v>3037</v>
      </c>
      <c r="F273" s="1855" t="s">
        <v>2540</v>
      </c>
      <c r="G273" s="1855" t="s">
        <v>22</v>
      </c>
      <c r="H273" s="1855" t="s">
        <v>22</v>
      </c>
      <c r="I273" s="1855" t="s">
        <v>899</v>
      </c>
    </row>
    <row customHeight="1" ht="11.25">
      <c r="A274" s="1855" t="s">
        <v>2391</v>
      </c>
      <c r="B274" s="1855" t="s">
        <v>16</v>
      </c>
      <c r="C274" s="1855" t="s">
        <v>2448</v>
      </c>
      <c r="D274" s="1855" t="s">
        <v>2449</v>
      </c>
      <c r="E274" s="1855" t="s">
        <v>2450</v>
      </c>
      <c r="F274" s="1855" t="s">
        <v>2399</v>
      </c>
      <c r="G274" s="1855" t="s">
        <v>22</v>
      </c>
      <c r="H274" s="1855" t="s">
        <v>22</v>
      </c>
      <c r="I274" s="1855" t="s">
        <v>899</v>
      </c>
    </row>
    <row customHeight="1" ht="11.25">
      <c r="A275" s="1855" t="s">
        <v>2391</v>
      </c>
      <c r="B275" s="1855" t="s">
        <v>16</v>
      </c>
      <c r="C275" s="1855" t="s">
        <v>2454</v>
      </c>
      <c r="D275" s="1855" t="s">
        <v>2455</v>
      </c>
      <c r="E275" s="1855" t="s">
        <v>2456</v>
      </c>
      <c r="F275" s="1855" t="s">
        <v>2423</v>
      </c>
      <c r="G275" s="1855" t="s">
        <v>22</v>
      </c>
      <c r="H275" s="1855" t="s">
        <v>22</v>
      </c>
      <c r="I275" s="1855" t="s">
        <v>899</v>
      </c>
    </row>
    <row customHeight="1" ht="11.25">
      <c r="A276" s="1855" t="s">
        <v>2391</v>
      </c>
      <c r="B276" s="1855" t="s">
        <v>16</v>
      </c>
      <c r="C276" s="1855" t="s">
        <v>2460</v>
      </c>
      <c r="D276" s="1855" t="s">
        <v>2461</v>
      </c>
      <c r="E276" s="1855" t="s">
        <v>2456</v>
      </c>
      <c r="F276" s="1855" t="s">
        <v>2462</v>
      </c>
      <c r="G276" s="1855" t="s">
        <v>22</v>
      </c>
      <c r="H276" s="1855" t="s">
        <v>22</v>
      </c>
      <c r="I276" s="1855" t="s">
        <v>899</v>
      </c>
    </row>
    <row customHeight="1" ht="11.25">
      <c r="A277" s="1855" t="s">
        <v>2391</v>
      </c>
      <c r="B277" s="1855" t="s">
        <v>16</v>
      </c>
      <c r="C277" s="1855" t="s">
        <v>3038</v>
      </c>
      <c r="D277" s="1855" t="s">
        <v>3039</v>
      </c>
      <c r="E277" s="1855" t="s">
        <v>3040</v>
      </c>
      <c r="F277" s="1855" t="s">
        <v>592</v>
      </c>
      <c r="G277" s="1855" t="s">
        <v>22</v>
      </c>
      <c r="H277" s="1855" t="s">
        <v>22</v>
      </c>
      <c r="I277" s="1855" t="s">
        <v>899</v>
      </c>
    </row>
    <row customHeight="1" ht="11.25">
      <c r="A278" s="1855" t="s">
        <v>2391</v>
      </c>
      <c r="B278" s="1855" t="s">
        <v>16</v>
      </c>
      <c r="C278" s="1855" t="s">
        <v>3041</v>
      </c>
      <c r="D278" s="1855" t="s">
        <v>3042</v>
      </c>
      <c r="E278" s="1855" t="s">
        <v>3043</v>
      </c>
      <c r="F278" s="1855" t="s">
        <v>2403</v>
      </c>
      <c r="G278" s="1855" t="s">
        <v>22</v>
      </c>
      <c r="H278" s="1855" t="s">
        <v>22</v>
      </c>
      <c r="I278" s="1855" t="s">
        <v>899</v>
      </c>
    </row>
    <row customHeight="1" ht="11.25">
      <c r="A279" s="1855" t="s">
        <v>2391</v>
      </c>
      <c r="B279" s="1855" t="s">
        <v>16</v>
      </c>
      <c r="C279" s="1855" t="s">
        <v>3044</v>
      </c>
      <c r="D279" s="1855" t="s">
        <v>3045</v>
      </c>
      <c r="E279" s="1855" t="s">
        <v>3046</v>
      </c>
      <c r="F279" s="1855" t="s">
        <v>2769</v>
      </c>
      <c r="G279" s="1855" t="s">
        <v>22</v>
      </c>
      <c r="H279" s="1855" t="s">
        <v>22</v>
      </c>
      <c r="I279" s="1855" t="s">
        <v>899</v>
      </c>
    </row>
    <row customHeight="1" ht="11.25">
      <c r="A280" s="1855" t="s">
        <v>2391</v>
      </c>
      <c r="B280" s="1855" t="s">
        <v>16</v>
      </c>
      <c r="C280" s="1855" t="s">
        <v>2476</v>
      </c>
      <c r="D280" s="1855" t="s">
        <v>2477</v>
      </c>
      <c r="E280" s="1855" t="s">
        <v>2478</v>
      </c>
      <c r="F280" s="1855" t="s">
        <v>2427</v>
      </c>
      <c r="G280" s="1855" t="s">
        <v>22</v>
      </c>
      <c r="H280" s="1855" t="s">
        <v>22</v>
      </c>
      <c r="I280" s="1855" t="s">
        <v>899</v>
      </c>
    </row>
    <row customHeight="1" ht="11.25">
      <c r="A281" s="1855" t="s">
        <v>2391</v>
      </c>
      <c r="B281" s="1855" t="s">
        <v>16</v>
      </c>
      <c r="C281" s="1855" t="s">
        <v>3047</v>
      </c>
      <c r="D281" s="1855" t="s">
        <v>3048</v>
      </c>
      <c r="E281" s="1855" t="s">
        <v>3049</v>
      </c>
      <c r="F281" s="1855" t="s">
        <v>2482</v>
      </c>
      <c r="G281" s="1855" t="s">
        <v>22</v>
      </c>
      <c r="H281" s="1855" t="s">
        <v>22</v>
      </c>
      <c r="I281" s="1855" t="s">
        <v>899</v>
      </c>
    </row>
    <row customHeight="1" ht="11.25">
      <c r="A282" s="1855" t="s">
        <v>2391</v>
      </c>
      <c r="B282" s="1855" t="s">
        <v>16</v>
      </c>
      <c r="C282" s="1855" t="s">
        <v>3050</v>
      </c>
      <c r="D282" s="1855" t="s">
        <v>3051</v>
      </c>
      <c r="E282" s="1855" t="s">
        <v>3052</v>
      </c>
      <c r="F282" s="1855" t="s">
        <v>2493</v>
      </c>
      <c r="G282" s="1855" t="s">
        <v>22</v>
      </c>
      <c r="H282" s="1855" t="s">
        <v>22</v>
      </c>
      <c r="I282" s="1855" t="s">
        <v>899</v>
      </c>
    </row>
    <row customHeight="1" ht="11.25">
      <c r="A283" s="1855" t="s">
        <v>2391</v>
      </c>
      <c r="B283" s="1855" t="s">
        <v>16</v>
      </c>
      <c r="C283" s="1855" t="s">
        <v>3053</v>
      </c>
      <c r="D283" s="1855" t="s">
        <v>3054</v>
      </c>
      <c r="E283" s="1855" t="s">
        <v>3055</v>
      </c>
      <c r="F283" s="1855" t="s">
        <v>2529</v>
      </c>
      <c r="G283" s="1855" t="s">
        <v>3056</v>
      </c>
      <c r="H283" s="1855" t="s">
        <v>22</v>
      </c>
      <c r="I283" s="1855" t="s">
        <v>899</v>
      </c>
    </row>
    <row customHeight="1" ht="11.25">
      <c r="A284" s="1855" t="s">
        <v>2391</v>
      </c>
      <c r="B284" s="1855" t="s">
        <v>16</v>
      </c>
      <c r="C284" s="1855" t="s">
        <v>3057</v>
      </c>
      <c r="D284" s="1855" t="s">
        <v>3058</v>
      </c>
      <c r="E284" s="1855" t="s">
        <v>3059</v>
      </c>
      <c r="F284" s="1855" t="s">
        <v>2475</v>
      </c>
      <c r="G284" s="1855" t="s">
        <v>22</v>
      </c>
      <c r="H284" s="1855" t="s">
        <v>22</v>
      </c>
      <c r="I284" s="1855" t="s">
        <v>899</v>
      </c>
    </row>
    <row customHeight="1" ht="11.25">
      <c r="A285" s="1855" t="s">
        <v>2391</v>
      </c>
      <c r="B285" s="1855" t="s">
        <v>16</v>
      </c>
      <c r="C285" s="1855" t="s">
        <v>2487</v>
      </c>
      <c r="D285" s="1855" t="s">
        <v>2488</v>
      </c>
      <c r="E285" s="1855" t="s">
        <v>2489</v>
      </c>
      <c r="F285" s="1855" t="s">
        <v>2423</v>
      </c>
      <c r="G285" s="1855" t="s">
        <v>22</v>
      </c>
      <c r="H285" s="1855" t="s">
        <v>22</v>
      </c>
      <c r="I285" s="1855" t="s">
        <v>899</v>
      </c>
    </row>
    <row customHeight="1" ht="11.25">
      <c r="A286" s="1855" t="s">
        <v>2391</v>
      </c>
      <c r="B286" s="1855" t="s">
        <v>16</v>
      </c>
      <c r="C286" s="1855" t="s">
        <v>2490</v>
      </c>
      <c r="D286" s="1855" t="s">
        <v>2491</v>
      </c>
      <c r="E286" s="1855" t="s">
        <v>2492</v>
      </c>
      <c r="F286" s="1855" t="s">
        <v>2493</v>
      </c>
      <c r="G286" s="1855" t="s">
        <v>22</v>
      </c>
      <c r="H286" s="1855" t="s">
        <v>22</v>
      </c>
      <c r="I286" s="1855" t="s">
        <v>899</v>
      </c>
    </row>
    <row customHeight="1" ht="11.25">
      <c r="A287" s="1855" t="s">
        <v>2391</v>
      </c>
      <c r="B287" s="1855" t="s">
        <v>16</v>
      </c>
      <c r="C287" s="1855" t="s">
        <v>2494</v>
      </c>
      <c r="D287" s="1855" t="s">
        <v>2495</v>
      </c>
      <c r="E287" s="1855" t="s">
        <v>2496</v>
      </c>
      <c r="F287" s="1855" t="s">
        <v>2497</v>
      </c>
      <c r="G287" s="1855" t="s">
        <v>22</v>
      </c>
      <c r="H287" s="1855" t="s">
        <v>22</v>
      </c>
      <c r="I287" s="1855" t="s">
        <v>899</v>
      </c>
    </row>
    <row customHeight="1" ht="11.25">
      <c r="A288" s="1855" t="s">
        <v>2391</v>
      </c>
      <c r="B288" s="1855" t="s">
        <v>16</v>
      </c>
      <c r="C288" s="1855" t="s">
        <v>2498</v>
      </c>
      <c r="D288" s="1855" t="s">
        <v>2499</v>
      </c>
      <c r="E288" s="1855" t="s">
        <v>2500</v>
      </c>
      <c r="F288" s="1855" t="s">
        <v>2447</v>
      </c>
      <c r="G288" s="1855" t="s">
        <v>22</v>
      </c>
      <c r="H288" s="1855" t="s">
        <v>22</v>
      </c>
      <c r="I288" s="1855" t="s">
        <v>899</v>
      </c>
    </row>
    <row customHeight="1" ht="11.25">
      <c r="A289" s="1855" t="s">
        <v>2391</v>
      </c>
      <c r="B289" s="1855" t="s">
        <v>16</v>
      </c>
      <c r="C289" s="1855" t="s">
        <v>3060</v>
      </c>
      <c r="D289" s="1855" t="s">
        <v>3061</v>
      </c>
      <c r="E289" s="1855" t="s">
        <v>3062</v>
      </c>
      <c r="F289" s="1855" t="s">
        <v>2493</v>
      </c>
      <c r="G289" s="1855" t="s">
        <v>22</v>
      </c>
      <c r="H289" s="1855" t="s">
        <v>22</v>
      </c>
      <c r="I289" s="1855" t="s">
        <v>899</v>
      </c>
    </row>
    <row customHeight="1" ht="11.25">
      <c r="A290" s="1855" t="s">
        <v>2391</v>
      </c>
      <c r="B290" s="1855" t="s">
        <v>16</v>
      </c>
      <c r="C290" s="1855" t="s">
        <v>3063</v>
      </c>
      <c r="D290" s="1855" t="s">
        <v>3064</v>
      </c>
      <c r="E290" s="1855" t="s">
        <v>3065</v>
      </c>
      <c r="F290" s="1855" t="s">
        <v>2493</v>
      </c>
      <c r="G290" s="1855" t="s">
        <v>22</v>
      </c>
      <c r="H290" s="1855" t="s">
        <v>22</v>
      </c>
      <c r="I290" s="1855" t="s">
        <v>899</v>
      </c>
    </row>
    <row customHeight="1" ht="11.25">
      <c r="A291" s="1855" t="s">
        <v>2391</v>
      </c>
      <c r="B291" s="1855" t="s">
        <v>16</v>
      </c>
      <c r="C291" s="1855" t="s">
        <v>3066</v>
      </c>
      <c r="D291" s="1855" t="s">
        <v>3067</v>
      </c>
      <c r="E291" s="1855" t="s">
        <v>3068</v>
      </c>
      <c r="F291" s="1855" t="s">
        <v>2482</v>
      </c>
      <c r="G291" s="1855" t="s">
        <v>22</v>
      </c>
      <c r="H291" s="1855" t="s">
        <v>22</v>
      </c>
      <c r="I291" s="1855" t="s">
        <v>899</v>
      </c>
    </row>
    <row customHeight="1" ht="11.25">
      <c r="A292" s="1855" t="s">
        <v>2391</v>
      </c>
      <c r="B292" s="1855" t="s">
        <v>16</v>
      </c>
      <c r="C292" s="1855" t="s">
        <v>3069</v>
      </c>
      <c r="D292" s="1855" t="s">
        <v>3070</v>
      </c>
      <c r="E292" s="1855" t="s">
        <v>3071</v>
      </c>
      <c r="F292" s="1855" t="s">
        <v>2493</v>
      </c>
      <c r="G292" s="1855" t="s">
        <v>22</v>
      </c>
      <c r="H292" s="1855" t="s">
        <v>22</v>
      </c>
      <c r="I292" s="1855" t="s">
        <v>899</v>
      </c>
    </row>
    <row customHeight="1" ht="11.25">
      <c r="A293" s="1855" t="s">
        <v>2391</v>
      </c>
      <c r="B293" s="1855" t="s">
        <v>16</v>
      </c>
      <c r="C293" s="1855" t="s">
        <v>3072</v>
      </c>
      <c r="D293" s="1855" t="s">
        <v>3073</v>
      </c>
      <c r="E293" s="1855" t="s">
        <v>3074</v>
      </c>
      <c r="F293" s="1855" t="s">
        <v>2482</v>
      </c>
      <c r="G293" s="1855" t="s">
        <v>22</v>
      </c>
      <c r="H293" s="1855" t="s">
        <v>22</v>
      </c>
      <c r="I293" s="1855" t="s">
        <v>899</v>
      </c>
    </row>
    <row customHeight="1" ht="11.25">
      <c r="A294" s="1855" t="s">
        <v>2391</v>
      </c>
      <c r="B294" s="1855" t="s">
        <v>16</v>
      </c>
      <c r="C294" s="1855" t="s">
        <v>3075</v>
      </c>
      <c r="D294" s="1855" t="s">
        <v>3076</v>
      </c>
      <c r="E294" s="1855" t="s">
        <v>3077</v>
      </c>
      <c r="F294" s="1855" t="s">
        <v>2493</v>
      </c>
      <c r="G294" s="1855" t="s">
        <v>22</v>
      </c>
      <c r="H294" s="1855" t="s">
        <v>22</v>
      </c>
      <c r="I294" s="1855" t="s">
        <v>899</v>
      </c>
    </row>
    <row customHeight="1" ht="11.25">
      <c r="A295" s="1855" t="s">
        <v>2391</v>
      </c>
      <c r="B295" s="1855" t="s">
        <v>16</v>
      </c>
      <c r="C295" s="1855" t="s">
        <v>3078</v>
      </c>
      <c r="D295" s="1855" t="s">
        <v>3079</v>
      </c>
      <c r="E295" s="1855" t="s">
        <v>3080</v>
      </c>
      <c r="F295" s="1855" t="s">
        <v>2493</v>
      </c>
      <c r="G295" s="1855" t="s">
        <v>22</v>
      </c>
      <c r="H295" s="1855" t="s">
        <v>22</v>
      </c>
      <c r="I295" s="1855" t="s">
        <v>899</v>
      </c>
    </row>
    <row customHeight="1" ht="11.25">
      <c r="A296" s="1855" t="s">
        <v>2391</v>
      </c>
      <c r="B296" s="1855" t="s">
        <v>16</v>
      </c>
      <c r="C296" s="1855" t="s">
        <v>3081</v>
      </c>
      <c r="D296" s="1855" t="s">
        <v>3082</v>
      </c>
      <c r="E296" s="1855" t="s">
        <v>3083</v>
      </c>
      <c r="F296" s="1855" t="s">
        <v>2493</v>
      </c>
      <c r="G296" s="1855" t="s">
        <v>22</v>
      </c>
      <c r="H296" s="1855" t="s">
        <v>22</v>
      </c>
      <c r="I296" s="1855" t="s">
        <v>899</v>
      </c>
    </row>
    <row customHeight="1" ht="11.25">
      <c r="A297" s="1855" t="s">
        <v>2391</v>
      </c>
      <c r="B297" s="1855" t="s">
        <v>16</v>
      </c>
      <c r="C297" s="1855" t="s">
        <v>3084</v>
      </c>
      <c r="D297" s="1855" t="s">
        <v>3085</v>
      </c>
      <c r="E297" s="1855" t="s">
        <v>3086</v>
      </c>
      <c r="F297" s="1855" t="s">
        <v>2447</v>
      </c>
      <c r="G297" s="1855" t="s">
        <v>22</v>
      </c>
      <c r="H297" s="1855" t="s">
        <v>22</v>
      </c>
      <c r="I297" s="1855" t="s">
        <v>899</v>
      </c>
    </row>
    <row customHeight="1" ht="11.25">
      <c r="A298" s="1855" t="s">
        <v>2391</v>
      </c>
      <c r="B298" s="1855" t="s">
        <v>16</v>
      </c>
      <c r="C298" s="1855" t="s">
        <v>2507</v>
      </c>
      <c r="D298" s="1855" t="s">
        <v>2508</v>
      </c>
      <c r="E298" s="1855" t="s">
        <v>2509</v>
      </c>
      <c r="F298" s="1855" t="s">
        <v>2510</v>
      </c>
      <c r="G298" s="1855" t="s">
        <v>22</v>
      </c>
      <c r="H298" s="1855" t="s">
        <v>22</v>
      </c>
      <c r="I298" s="1855" t="s">
        <v>899</v>
      </c>
    </row>
    <row customHeight="1" ht="11.25">
      <c r="A299" s="1855" t="s">
        <v>2391</v>
      </c>
      <c r="B299" s="1855" t="s">
        <v>16</v>
      </c>
      <c r="C299" s="1855" t="s">
        <v>3087</v>
      </c>
      <c r="D299" s="1855" t="s">
        <v>3088</v>
      </c>
      <c r="E299" s="1855" t="s">
        <v>3089</v>
      </c>
      <c r="F299" s="1855" t="s">
        <v>2529</v>
      </c>
      <c r="G299" s="1855" t="s">
        <v>22</v>
      </c>
      <c r="H299" s="1855" t="s">
        <v>22</v>
      </c>
      <c r="I299" s="1855" t="s">
        <v>899</v>
      </c>
    </row>
    <row customHeight="1" ht="11.25">
      <c r="A300" s="1855" t="s">
        <v>2391</v>
      </c>
      <c r="B300" s="1855" t="s">
        <v>16</v>
      </c>
      <c r="C300" s="1855" t="s">
        <v>2511</v>
      </c>
      <c r="D300" s="1855" t="s">
        <v>2512</v>
      </c>
      <c r="E300" s="1855" t="s">
        <v>2513</v>
      </c>
      <c r="F300" s="1855" t="s">
        <v>2510</v>
      </c>
      <c r="G300" s="1855" t="s">
        <v>22</v>
      </c>
      <c r="H300" s="1855" t="s">
        <v>22</v>
      </c>
      <c r="I300" s="1855" t="s">
        <v>899</v>
      </c>
    </row>
    <row customHeight="1" ht="11.25">
      <c r="A301" s="1855" t="s">
        <v>2391</v>
      </c>
      <c r="B301" s="1855" t="s">
        <v>16</v>
      </c>
      <c r="C301" s="1855" t="s">
        <v>2514</v>
      </c>
      <c r="D301" s="1855" t="s">
        <v>2515</v>
      </c>
      <c r="E301" s="1855" t="s">
        <v>2516</v>
      </c>
      <c r="F301" s="1855" t="s">
        <v>2517</v>
      </c>
      <c r="G301" s="1855" t="s">
        <v>22</v>
      </c>
      <c r="H301" s="1855" t="s">
        <v>22</v>
      </c>
      <c r="I301" s="1855" t="s">
        <v>899</v>
      </c>
    </row>
    <row customHeight="1" ht="11.25">
      <c r="A302" s="1855" t="s">
        <v>2391</v>
      </c>
      <c r="B302" s="1855" t="s">
        <v>16</v>
      </c>
      <c r="C302" s="1855" t="s">
        <v>2518</v>
      </c>
      <c r="D302" s="1855" t="s">
        <v>2519</v>
      </c>
      <c r="E302" s="1855" t="s">
        <v>2520</v>
      </c>
      <c r="F302" s="1855" t="s">
        <v>2447</v>
      </c>
      <c r="G302" s="1855" t="s">
        <v>2521</v>
      </c>
      <c r="H302" s="1855" t="s">
        <v>22</v>
      </c>
      <c r="I302" s="1855" t="s">
        <v>899</v>
      </c>
    </row>
    <row customHeight="1" ht="11.25">
      <c r="A303" s="1855" t="s">
        <v>2391</v>
      </c>
      <c r="B303" s="1855" t="s">
        <v>16</v>
      </c>
      <c r="C303" s="1855" t="s">
        <v>3090</v>
      </c>
      <c r="D303" s="1855" t="s">
        <v>3091</v>
      </c>
      <c r="E303" s="1855" t="s">
        <v>3092</v>
      </c>
      <c r="F303" s="1855" t="s">
        <v>2667</v>
      </c>
      <c r="G303" s="1855" t="s">
        <v>22</v>
      </c>
      <c r="H303" s="1855" t="s">
        <v>22</v>
      </c>
      <c r="I303" s="1855" t="s">
        <v>899</v>
      </c>
    </row>
    <row customHeight="1" ht="11.25">
      <c r="A304" s="1855" t="s">
        <v>2391</v>
      </c>
      <c r="B304" s="1855" t="s">
        <v>16</v>
      </c>
      <c r="C304" s="1855" t="s">
        <v>3093</v>
      </c>
      <c r="D304" s="1855" t="s">
        <v>3094</v>
      </c>
      <c r="E304" s="1855" t="s">
        <v>3095</v>
      </c>
      <c r="F304" s="1855" t="s">
        <v>2660</v>
      </c>
      <c r="G304" s="1855" t="s">
        <v>22</v>
      </c>
      <c r="H304" s="1855" t="s">
        <v>22</v>
      </c>
      <c r="I304" s="1855" t="s">
        <v>899</v>
      </c>
    </row>
    <row customHeight="1" ht="11.25">
      <c r="A305" s="1855" t="s">
        <v>2391</v>
      </c>
      <c r="B305" s="1855" t="s">
        <v>16</v>
      </c>
      <c r="C305" s="1855" t="s">
        <v>2522</v>
      </c>
      <c r="D305" s="1855" t="s">
        <v>2523</v>
      </c>
      <c r="E305" s="1855" t="s">
        <v>2524</v>
      </c>
      <c r="F305" s="1855" t="s">
        <v>2525</v>
      </c>
      <c r="G305" s="1855" t="s">
        <v>22</v>
      </c>
      <c r="H305" s="1855" t="s">
        <v>22</v>
      </c>
      <c r="I305" s="1855" t="s">
        <v>899</v>
      </c>
    </row>
    <row customHeight="1" ht="11.25">
      <c r="A306" s="1855" t="s">
        <v>2391</v>
      </c>
      <c r="B306" s="1855" t="s">
        <v>16</v>
      </c>
      <c r="C306" s="1855" t="s">
        <v>2526</v>
      </c>
      <c r="D306" s="1855" t="s">
        <v>2527</v>
      </c>
      <c r="E306" s="1855" t="s">
        <v>2528</v>
      </c>
      <c r="F306" s="1855" t="s">
        <v>2529</v>
      </c>
      <c r="G306" s="1855" t="s">
        <v>22</v>
      </c>
      <c r="H306" s="1855" t="s">
        <v>22</v>
      </c>
      <c r="I306" s="1855" t="s">
        <v>899</v>
      </c>
    </row>
    <row customHeight="1" ht="11.25">
      <c r="A307" s="1855" t="s">
        <v>2391</v>
      </c>
      <c r="B307" s="1855" t="s">
        <v>16</v>
      </c>
      <c r="C307" s="1855" t="s">
        <v>2530</v>
      </c>
      <c r="D307" s="1855" t="s">
        <v>2531</v>
      </c>
      <c r="E307" s="1855" t="s">
        <v>2532</v>
      </c>
      <c r="F307" s="1855" t="s">
        <v>2529</v>
      </c>
      <c r="G307" s="1855" t="s">
        <v>22</v>
      </c>
      <c r="H307" s="1855" t="s">
        <v>22</v>
      </c>
      <c r="I307" s="1855" t="s">
        <v>899</v>
      </c>
    </row>
    <row customHeight="1" ht="11.25">
      <c r="A308" s="1855" t="s">
        <v>2391</v>
      </c>
      <c r="B308" s="1855" t="s">
        <v>16</v>
      </c>
      <c r="C308" s="1855" t="s">
        <v>2533</v>
      </c>
      <c r="D308" s="1855" t="s">
        <v>2534</v>
      </c>
      <c r="E308" s="1855" t="s">
        <v>2535</v>
      </c>
      <c r="F308" s="1855" t="s">
        <v>2427</v>
      </c>
      <c r="G308" s="1855" t="s">
        <v>22</v>
      </c>
      <c r="H308" s="1855" t="s">
        <v>2536</v>
      </c>
      <c r="I308" s="1855" t="s">
        <v>899</v>
      </c>
    </row>
    <row customHeight="1" ht="11.25">
      <c r="A309" s="1855" t="s">
        <v>2391</v>
      </c>
      <c r="B309" s="1855" t="s">
        <v>16</v>
      </c>
      <c r="C309" s="1855" t="s">
        <v>2537</v>
      </c>
      <c r="D309" s="1855" t="s">
        <v>2538</v>
      </c>
      <c r="E309" s="1855" t="s">
        <v>2539</v>
      </c>
      <c r="F309" s="1855" t="s">
        <v>2540</v>
      </c>
      <c r="G309" s="1855" t="s">
        <v>22</v>
      </c>
      <c r="H309" s="1855" t="s">
        <v>22</v>
      </c>
      <c r="I309" s="1855" t="s">
        <v>899</v>
      </c>
    </row>
    <row customHeight="1" ht="11.25">
      <c r="A310" s="1855" t="s">
        <v>2391</v>
      </c>
      <c r="B310" s="1855" t="s">
        <v>16</v>
      </c>
      <c r="C310" s="1855" t="s">
        <v>2548</v>
      </c>
      <c r="D310" s="1855" t="s">
        <v>2549</v>
      </c>
      <c r="E310" s="1855" t="s">
        <v>2550</v>
      </c>
      <c r="F310" s="1855" t="s">
        <v>2525</v>
      </c>
      <c r="G310" s="1855" t="s">
        <v>22</v>
      </c>
      <c r="H310" s="1855" t="s">
        <v>22</v>
      </c>
      <c r="I310" s="1855" t="s">
        <v>899</v>
      </c>
    </row>
    <row customHeight="1" ht="11.25">
      <c r="A311" s="1855" t="s">
        <v>2391</v>
      </c>
      <c r="B311" s="1855" t="s">
        <v>16</v>
      </c>
      <c r="C311" s="1855" t="s">
        <v>3096</v>
      </c>
      <c r="D311" s="1855" t="s">
        <v>3097</v>
      </c>
      <c r="E311" s="1855" t="s">
        <v>3098</v>
      </c>
      <c r="F311" s="1855" t="s">
        <v>2623</v>
      </c>
      <c r="G311" s="1855" t="s">
        <v>22</v>
      </c>
      <c r="H311" s="1855" t="s">
        <v>22</v>
      </c>
      <c r="I311" s="1855" t="s">
        <v>899</v>
      </c>
    </row>
    <row customHeight="1" ht="11.25">
      <c r="A312" s="1855" t="s">
        <v>2391</v>
      </c>
      <c r="B312" s="1855" t="s">
        <v>16</v>
      </c>
      <c r="C312" s="1855" t="s">
        <v>2551</v>
      </c>
      <c r="D312" s="1855" t="s">
        <v>2552</v>
      </c>
      <c r="E312" s="1855" t="s">
        <v>2553</v>
      </c>
      <c r="F312" s="1855" t="s">
        <v>2399</v>
      </c>
      <c r="G312" s="1855" t="s">
        <v>22</v>
      </c>
      <c r="H312" s="1855" t="s">
        <v>22</v>
      </c>
      <c r="I312" s="1855" t="s">
        <v>899</v>
      </c>
    </row>
    <row customHeight="1" ht="11.25">
      <c r="A313" s="1855" t="s">
        <v>2391</v>
      </c>
      <c r="B313" s="1855" t="s">
        <v>16</v>
      </c>
      <c r="C313" s="1855" t="s">
        <v>3099</v>
      </c>
      <c r="D313" s="1855" t="s">
        <v>3100</v>
      </c>
      <c r="E313" s="1855" t="s">
        <v>3101</v>
      </c>
      <c r="F313" s="1855" t="s">
        <v>2486</v>
      </c>
      <c r="G313" s="1855" t="s">
        <v>22</v>
      </c>
      <c r="H313" s="1855" t="s">
        <v>22</v>
      </c>
      <c r="I313" s="1855" t="s">
        <v>899</v>
      </c>
    </row>
    <row customHeight="1" ht="11.25">
      <c r="A314" s="1855" t="s">
        <v>2391</v>
      </c>
      <c r="B314" s="1855" t="s">
        <v>16</v>
      </c>
      <c r="C314" s="1855" t="s">
        <v>3102</v>
      </c>
      <c r="D314" s="1855" t="s">
        <v>3103</v>
      </c>
      <c r="E314" s="1855" t="s">
        <v>3104</v>
      </c>
      <c r="F314" s="1855" t="s">
        <v>2510</v>
      </c>
      <c r="G314" s="1855" t="s">
        <v>22</v>
      </c>
      <c r="H314" s="1855" t="s">
        <v>22</v>
      </c>
      <c r="I314" s="1855" t="s">
        <v>899</v>
      </c>
    </row>
    <row customHeight="1" ht="11.25">
      <c r="A315" s="1855" t="s">
        <v>2391</v>
      </c>
      <c r="B315" s="1855" t="s">
        <v>16</v>
      </c>
      <c r="C315" s="1855" t="s">
        <v>3105</v>
      </c>
      <c r="D315" s="1855" t="s">
        <v>3106</v>
      </c>
      <c r="E315" s="1855" t="s">
        <v>3107</v>
      </c>
      <c r="F315" s="1855" t="s">
        <v>2525</v>
      </c>
      <c r="G315" s="1855" t="s">
        <v>22</v>
      </c>
      <c r="H315" s="1855" t="s">
        <v>22</v>
      </c>
      <c r="I315" s="1855" t="s">
        <v>899</v>
      </c>
    </row>
    <row customHeight="1" ht="11.25">
      <c r="A316" s="1855" t="s">
        <v>2391</v>
      </c>
      <c r="B316" s="1855" t="s">
        <v>16</v>
      </c>
      <c r="C316" s="1855" t="s">
        <v>3108</v>
      </c>
      <c r="D316" s="1855" t="s">
        <v>3109</v>
      </c>
      <c r="E316" s="1855" t="s">
        <v>3110</v>
      </c>
      <c r="F316" s="1855" t="s">
        <v>2493</v>
      </c>
      <c r="G316" s="1855" t="s">
        <v>22</v>
      </c>
      <c r="H316" s="1855" t="s">
        <v>22</v>
      </c>
      <c r="I316" s="1855" t="s">
        <v>899</v>
      </c>
    </row>
    <row customHeight="1" ht="11.25">
      <c r="A317" s="1855" t="s">
        <v>2391</v>
      </c>
      <c r="B317" s="1855" t="s">
        <v>16</v>
      </c>
      <c r="C317" s="1855" t="s">
        <v>2557</v>
      </c>
      <c r="D317" s="1855" t="s">
        <v>2558</v>
      </c>
      <c r="E317" s="1855" t="s">
        <v>2559</v>
      </c>
      <c r="F317" s="1855" t="s">
        <v>2423</v>
      </c>
      <c r="G317" s="1855" t="s">
        <v>22</v>
      </c>
      <c r="H317" s="1855" t="s">
        <v>22</v>
      </c>
      <c r="I317" s="1855" t="s">
        <v>899</v>
      </c>
    </row>
    <row customHeight="1" ht="11.25">
      <c r="A318" s="1855" t="s">
        <v>2391</v>
      </c>
      <c r="B318" s="1855" t="s">
        <v>16</v>
      </c>
      <c r="C318" s="1855" t="s">
        <v>2560</v>
      </c>
      <c r="D318" s="1855" t="s">
        <v>2561</v>
      </c>
      <c r="E318" s="1855" t="s">
        <v>2562</v>
      </c>
      <c r="F318" s="1855" t="s">
        <v>2399</v>
      </c>
      <c r="G318" s="1855" t="s">
        <v>22</v>
      </c>
      <c r="H318" s="1855" t="s">
        <v>22</v>
      </c>
      <c r="I318" s="1855" t="s">
        <v>899</v>
      </c>
    </row>
    <row customHeight="1" ht="11.25">
      <c r="A319" s="1855" t="s">
        <v>2391</v>
      </c>
      <c r="B319" s="1855" t="s">
        <v>16</v>
      </c>
      <c r="C319" s="1855" t="s">
        <v>2569</v>
      </c>
      <c r="D319" s="1855" t="s">
        <v>2570</v>
      </c>
      <c r="E319" s="1855" t="s">
        <v>2571</v>
      </c>
      <c r="F319" s="1855" t="s">
        <v>2399</v>
      </c>
      <c r="G319" s="1855" t="s">
        <v>22</v>
      </c>
      <c r="H319" s="1855" t="s">
        <v>22</v>
      </c>
      <c r="I319" s="1855" t="s">
        <v>899</v>
      </c>
    </row>
    <row customHeight="1" ht="11.25">
      <c r="A320" s="1855" t="s">
        <v>2391</v>
      </c>
      <c r="B320" s="1855" t="s">
        <v>16</v>
      </c>
      <c r="C320" s="1855" t="s">
        <v>2578</v>
      </c>
      <c r="D320" s="1855" t="s">
        <v>2579</v>
      </c>
      <c r="E320" s="1855" t="s">
        <v>2580</v>
      </c>
      <c r="F320" s="1855" t="s">
        <v>2399</v>
      </c>
      <c r="G320" s="1855" t="s">
        <v>22</v>
      </c>
      <c r="H320" s="1855" t="s">
        <v>22</v>
      </c>
      <c r="I320" s="1855" t="s">
        <v>899</v>
      </c>
    </row>
    <row customHeight="1" ht="11.25">
      <c r="A321" s="1855" t="s">
        <v>2391</v>
      </c>
      <c r="B321" s="1855" t="s">
        <v>16</v>
      </c>
      <c r="C321" s="1855" t="s">
        <v>2584</v>
      </c>
      <c r="D321" s="1855" t="s">
        <v>2585</v>
      </c>
      <c r="E321" s="1855" t="s">
        <v>2586</v>
      </c>
      <c r="F321" s="1855" t="s">
        <v>2399</v>
      </c>
      <c r="G321" s="1855" t="s">
        <v>22</v>
      </c>
      <c r="H321" s="1855" t="s">
        <v>22</v>
      </c>
      <c r="I321" s="1855" t="s">
        <v>899</v>
      </c>
    </row>
    <row customHeight="1" ht="11.25">
      <c r="A322" s="1855" t="s">
        <v>2391</v>
      </c>
      <c r="B322" s="1855" t="s">
        <v>16</v>
      </c>
      <c r="C322" s="1855" t="s">
        <v>3111</v>
      </c>
      <c r="D322" s="1855" t="s">
        <v>3112</v>
      </c>
      <c r="E322" s="1855" t="s">
        <v>3113</v>
      </c>
      <c r="F322" s="1855" t="s">
        <v>2486</v>
      </c>
      <c r="G322" s="1855" t="s">
        <v>22</v>
      </c>
      <c r="H322" s="1855" t="s">
        <v>22</v>
      </c>
      <c r="I322" s="1855" t="s">
        <v>899</v>
      </c>
    </row>
    <row customHeight="1" ht="11.25">
      <c r="A323" s="1855" t="s">
        <v>2391</v>
      </c>
      <c r="B323" s="1855" t="s">
        <v>16</v>
      </c>
      <c r="C323" s="1855" t="s">
        <v>3114</v>
      </c>
      <c r="D323" s="1855" t="s">
        <v>3115</v>
      </c>
      <c r="E323" s="1855" t="s">
        <v>3116</v>
      </c>
      <c r="F323" s="1855" t="s">
        <v>2399</v>
      </c>
      <c r="G323" s="1855" t="s">
        <v>22</v>
      </c>
      <c r="H323" s="1855" t="s">
        <v>22</v>
      </c>
      <c r="I323" s="1855" t="s">
        <v>899</v>
      </c>
    </row>
    <row customHeight="1" ht="11.25">
      <c r="A324" s="1855" t="s">
        <v>2391</v>
      </c>
      <c r="B324" s="1855" t="s">
        <v>16</v>
      </c>
      <c r="C324" s="1855" t="s">
        <v>2610</v>
      </c>
      <c r="D324" s="1855" t="s">
        <v>2611</v>
      </c>
      <c r="E324" s="1855" t="s">
        <v>2612</v>
      </c>
      <c r="F324" s="1855" t="s">
        <v>2399</v>
      </c>
      <c r="G324" s="1855" t="s">
        <v>22</v>
      </c>
      <c r="H324" s="1855" t="s">
        <v>22</v>
      </c>
      <c r="I324" s="1855" t="s">
        <v>899</v>
      </c>
    </row>
    <row customHeight="1" ht="11.25">
      <c r="A325" s="1855" t="s">
        <v>2391</v>
      </c>
      <c r="B325" s="1855" t="s">
        <v>16</v>
      </c>
      <c r="C325" s="1855" t="s">
        <v>2613</v>
      </c>
      <c r="D325" s="1855" t="s">
        <v>2614</v>
      </c>
      <c r="E325" s="1855" t="s">
        <v>2615</v>
      </c>
      <c r="F325" s="1855" t="s">
        <v>2517</v>
      </c>
      <c r="G325" s="1855" t="s">
        <v>22</v>
      </c>
      <c r="H325" s="1855" t="s">
        <v>22</v>
      </c>
      <c r="I325" s="1855" t="s">
        <v>899</v>
      </c>
    </row>
    <row customHeight="1" ht="11.25">
      <c r="A326" s="1855" t="s">
        <v>2391</v>
      </c>
      <c r="B326" s="1855" t="s">
        <v>16</v>
      </c>
      <c r="C326" s="1855" t="s">
        <v>3117</v>
      </c>
      <c r="D326" s="1855" t="s">
        <v>3118</v>
      </c>
      <c r="E326" s="1855" t="s">
        <v>3119</v>
      </c>
      <c r="F326" s="1855" t="s">
        <v>2525</v>
      </c>
      <c r="G326" s="1855" t="s">
        <v>22</v>
      </c>
      <c r="H326" s="1855" t="s">
        <v>22</v>
      </c>
      <c r="I326" s="1855" t="s">
        <v>899</v>
      </c>
    </row>
    <row customHeight="1" ht="11.25">
      <c r="A327" s="1855" t="s">
        <v>2391</v>
      </c>
      <c r="B327" s="1855" t="s">
        <v>16</v>
      </c>
      <c r="C327" s="1855" t="s">
        <v>2620</v>
      </c>
      <c r="D327" s="1855" t="s">
        <v>2621</v>
      </c>
      <c r="E327" s="1855" t="s">
        <v>2622</v>
      </c>
      <c r="F327" s="1855" t="s">
        <v>2623</v>
      </c>
      <c r="G327" s="1855" t="s">
        <v>2624</v>
      </c>
      <c r="H327" s="1855" t="s">
        <v>22</v>
      </c>
      <c r="I327" s="1855" t="s">
        <v>899</v>
      </c>
    </row>
    <row customHeight="1" ht="11.25">
      <c r="A328" s="1855" t="s">
        <v>2391</v>
      </c>
      <c r="B328" s="1855" t="s">
        <v>16</v>
      </c>
      <c r="C328" s="1855" t="s">
        <v>2625</v>
      </c>
      <c r="D328" s="1855" t="s">
        <v>2626</v>
      </c>
      <c r="E328" s="1855" t="s">
        <v>2627</v>
      </c>
      <c r="F328" s="1855" t="s">
        <v>2623</v>
      </c>
      <c r="G328" s="1855" t="s">
        <v>22</v>
      </c>
      <c r="H328" s="1855" t="s">
        <v>22</v>
      </c>
      <c r="I328" s="1855" t="s">
        <v>899</v>
      </c>
    </row>
    <row customHeight="1" ht="11.25">
      <c r="A329" s="1855" t="s">
        <v>2391</v>
      </c>
      <c r="B329" s="1855" t="s">
        <v>16</v>
      </c>
      <c r="C329" s="1855" t="s">
        <v>3029</v>
      </c>
      <c r="D329" s="1855" t="s">
        <v>3030</v>
      </c>
      <c r="E329" s="1855" t="s">
        <v>3031</v>
      </c>
      <c r="F329" s="1855" t="s">
        <v>2623</v>
      </c>
      <c r="G329" s="1855" t="s">
        <v>22</v>
      </c>
      <c r="H329" s="1855" t="s">
        <v>22</v>
      </c>
      <c r="I329" s="1855" t="s">
        <v>899</v>
      </c>
    </row>
    <row customHeight="1" ht="11.25">
      <c r="A330" s="1855" t="s">
        <v>2391</v>
      </c>
      <c r="B330" s="1855" t="s">
        <v>16</v>
      </c>
      <c r="C330" s="1855" t="s">
        <v>2631</v>
      </c>
      <c r="D330" s="1855" t="s">
        <v>2632</v>
      </c>
      <c r="E330" s="1855" t="s">
        <v>2633</v>
      </c>
      <c r="F330" s="1855" t="s">
        <v>2399</v>
      </c>
      <c r="G330" s="1855" t="s">
        <v>22</v>
      </c>
      <c r="H330" s="1855" t="s">
        <v>22</v>
      </c>
      <c r="I330" s="1855" t="s">
        <v>899</v>
      </c>
    </row>
    <row customHeight="1" ht="11.25">
      <c r="A331" s="1855" t="s">
        <v>2391</v>
      </c>
      <c r="B331" s="1855" t="s">
        <v>16</v>
      </c>
      <c r="C331" s="1855" t="s">
        <v>2634</v>
      </c>
      <c r="D331" s="1855" t="s">
        <v>2635</v>
      </c>
      <c r="E331" s="1855" t="s">
        <v>2636</v>
      </c>
      <c r="F331" s="1855" t="s">
        <v>2427</v>
      </c>
      <c r="G331" s="1855" t="s">
        <v>22</v>
      </c>
      <c r="H331" s="1855" t="s">
        <v>22</v>
      </c>
      <c r="I331" s="1855" t="s">
        <v>899</v>
      </c>
    </row>
    <row customHeight="1" ht="11.25">
      <c r="A332" s="1855" t="s">
        <v>2391</v>
      </c>
      <c r="B332" s="1855" t="s">
        <v>16</v>
      </c>
      <c r="C332" s="1855" t="s">
        <v>2637</v>
      </c>
      <c r="D332" s="1855" t="s">
        <v>2638</v>
      </c>
      <c r="E332" s="1855" t="s">
        <v>2639</v>
      </c>
      <c r="F332" s="1855" t="s">
        <v>2427</v>
      </c>
      <c r="G332" s="1855" t="s">
        <v>2640</v>
      </c>
      <c r="H332" s="1855" t="s">
        <v>22</v>
      </c>
      <c r="I332" s="1855" t="s">
        <v>899</v>
      </c>
    </row>
    <row customHeight="1" ht="11.25">
      <c r="A333" s="1855" t="s">
        <v>2391</v>
      </c>
      <c r="B333" s="1855" t="s">
        <v>16</v>
      </c>
      <c r="C333" s="1855" t="s">
        <v>3120</v>
      </c>
      <c r="D333" s="1855" t="s">
        <v>3121</v>
      </c>
      <c r="E333" s="1855" t="s">
        <v>3122</v>
      </c>
      <c r="F333" s="1855" t="s">
        <v>2493</v>
      </c>
      <c r="G333" s="1855" t="s">
        <v>22</v>
      </c>
      <c r="H333" s="1855" t="s">
        <v>22</v>
      </c>
      <c r="I333" s="1855" t="s">
        <v>899</v>
      </c>
    </row>
    <row customHeight="1" ht="11.25">
      <c r="A334" s="1855" t="s">
        <v>2391</v>
      </c>
      <c r="B334" s="1855" t="s">
        <v>16</v>
      </c>
      <c r="C334" s="1855" t="s">
        <v>3123</v>
      </c>
      <c r="D334" s="1855" t="s">
        <v>3124</v>
      </c>
      <c r="E334" s="1855" t="s">
        <v>3125</v>
      </c>
      <c r="F334" s="1855" t="s">
        <v>2486</v>
      </c>
      <c r="G334" s="1855" t="s">
        <v>22</v>
      </c>
      <c r="H334" s="1855" t="s">
        <v>22</v>
      </c>
      <c r="I334" s="1855" t="s">
        <v>899</v>
      </c>
    </row>
    <row customHeight="1" ht="11.25">
      <c r="A335" s="1855" t="s">
        <v>2391</v>
      </c>
      <c r="B335" s="1855" t="s">
        <v>16</v>
      </c>
      <c r="C335" s="1855" t="s">
        <v>3126</v>
      </c>
      <c r="D335" s="1855" t="s">
        <v>3124</v>
      </c>
      <c r="E335" s="1855" t="s">
        <v>3127</v>
      </c>
      <c r="F335" s="1855" t="s">
        <v>2427</v>
      </c>
      <c r="G335" s="1855" t="s">
        <v>3128</v>
      </c>
      <c r="H335" s="1855" t="s">
        <v>22</v>
      </c>
      <c r="I335" s="1855" t="s">
        <v>899</v>
      </c>
    </row>
    <row customHeight="1" ht="11.25">
      <c r="A336" s="1855" t="s">
        <v>2391</v>
      </c>
      <c r="B336" s="1855" t="s">
        <v>16</v>
      </c>
      <c r="C336" s="1855" t="s">
        <v>3129</v>
      </c>
      <c r="D336" s="1855" t="s">
        <v>3130</v>
      </c>
      <c r="E336" s="1855" t="s">
        <v>3131</v>
      </c>
      <c r="F336" s="1855" t="s">
        <v>2660</v>
      </c>
      <c r="G336" s="1855" t="s">
        <v>22</v>
      </c>
      <c r="H336" s="1855" t="s">
        <v>22</v>
      </c>
      <c r="I336" s="1855" t="s">
        <v>899</v>
      </c>
    </row>
    <row customHeight="1" ht="11.25">
      <c r="A337" s="1855" t="s">
        <v>2391</v>
      </c>
      <c r="B337" s="1855" t="s">
        <v>16</v>
      </c>
      <c r="C337" s="1855" t="s">
        <v>3132</v>
      </c>
      <c r="D337" s="1855" t="s">
        <v>3133</v>
      </c>
      <c r="E337" s="1855" t="s">
        <v>3134</v>
      </c>
      <c r="F337" s="1855" t="s">
        <v>2525</v>
      </c>
      <c r="G337" s="1855" t="s">
        <v>22</v>
      </c>
      <c r="H337" s="1855" t="s">
        <v>22</v>
      </c>
      <c r="I337" s="1855" t="s">
        <v>899</v>
      </c>
    </row>
    <row customHeight="1" ht="11.25">
      <c r="A338" s="1855" t="s">
        <v>2391</v>
      </c>
      <c r="B338" s="1855" t="s">
        <v>16</v>
      </c>
      <c r="C338" s="1855" t="s">
        <v>3135</v>
      </c>
      <c r="D338" s="1855" t="s">
        <v>3136</v>
      </c>
      <c r="E338" s="1855" t="s">
        <v>3137</v>
      </c>
      <c r="F338" s="1855" t="s">
        <v>2475</v>
      </c>
      <c r="G338" s="1855" t="s">
        <v>22</v>
      </c>
      <c r="H338" s="1855" t="s">
        <v>22</v>
      </c>
      <c r="I338" s="1855" t="s">
        <v>899</v>
      </c>
    </row>
    <row customHeight="1" ht="11.25">
      <c r="A339" s="1855" t="s">
        <v>2391</v>
      </c>
      <c r="B339" s="1855" t="s">
        <v>16</v>
      </c>
      <c r="C339" s="1855" t="s">
        <v>3138</v>
      </c>
      <c r="D339" s="1855" t="s">
        <v>3139</v>
      </c>
      <c r="E339" s="1855" t="s">
        <v>3140</v>
      </c>
      <c r="F339" s="1855" t="s">
        <v>2486</v>
      </c>
      <c r="G339" s="1855" t="s">
        <v>22</v>
      </c>
      <c r="H339" s="1855" t="s">
        <v>22</v>
      </c>
      <c r="I339" s="1855" t="s">
        <v>899</v>
      </c>
    </row>
    <row customHeight="1" ht="11.25">
      <c r="A340" s="1855" t="s">
        <v>2391</v>
      </c>
      <c r="B340" s="1855" t="s">
        <v>16</v>
      </c>
      <c r="C340" s="1855" t="s">
        <v>3141</v>
      </c>
      <c r="D340" s="1855" t="s">
        <v>3142</v>
      </c>
      <c r="E340" s="1855" t="s">
        <v>3143</v>
      </c>
      <c r="F340" s="1855" t="s">
        <v>2493</v>
      </c>
      <c r="G340" s="1855" t="s">
        <v>3144</v>
      </c>
      <c r="H340" s="1855" t="s">
        <v>22</v>
      </c>
      <c r="I340" s="1855" t="s">
        <v>899</v>
      </c>
    </row>
    <row customHeight="1" ht="11.25">
      <c r="A341" s="1855" t="s">
        <v>2391</v>
      </c>
      <c r="B341" s="1855" t="s">
        <v>16</v>
      </c>
      <c r="C341" s="1855" t="s">
        <v>2641</v>
      </c>
      <c r="D341" s="1855" t="s">
        <v>2642</v>
      </c>
      <c r="E341" s="1855" t="s">
        <v>2643</v>
      </c>
      <c r="F341" s="1855" t="s">
        <v>2399</v>
      </c>
      <c r="G341" s="1855" t="s">
        <v>22</v>
      </c>
      <c r="H341" s="1855" t="s">
        <v>22</v>
      </c>
      <c r="I341" s="1855" t="s">
        <v>899</v>
      </c>
    </row>
    <row customHeight="1" ht="11.25">
      <c r="A342" s="1855" t="s">
        <v>2391</v>
      </c>
      <c r="B342" s="1855" t="s">
        <v>16</v>
      </c>
      <c r="C342" s="1855" t="s">
        <v>2644</v>
      </c>
      <c r="D342" s="1855" t="s">
        <v>2645</v>
      </c>
      <c r="E342" s="1855" t="s">
        <v>2646</v>
      </c>
      <c r="F342" s="1855" t="s">
        <v>2399</v>
      </c>
      <c r="G342" s="1855" t="s">
        <v>22</v>
      </c>
      <c r="H342" s="1855" t="s">
        <v>22</v>
      </c>
      <c r="I342" s="1855" t="s">
        <v>899</v>
      </c>
    </row>
    <row customHeight="1" ht="11.25">
      <c r="A343" s="1855" t="s">
        <v>2391</v>
      </c>
      <c r="B343" s="1855" t="s">
        <v>16</v>
      </c>
      <c r="C343" s="1855" t="s">
        <v>2647</v>
      </c>
      <c r="D343" s="1855" t="s">
        <v>2648</v>
      </c>
      <c r="E343" s="1855" t="s">
        <v>2649</v>
      </c>
      <c r="F343" s="1855" t="s">
        <v>2399</v>
      </c>
      <c r="G343" s="1855" t="s">
        <v>22</v>
      </c>
      <c r="H343" s="1855" t="s">
        <v>22</v>
      </c>
      <c r="I343" s="1855" t="s">
        <v>899</v>
      </c>
    </row>
    <row customHeight="1" ht="11.25">
      <c r="A344" s="1855" t="s">
        <v>2391</v>
      </c>
      <c r="B344" s="1855" t="s">
        <v>16</v>
      </c>
      <c r="C344" s="1855" t="s">
        <v>3032</v>
      </c>
      <c r="D344" s="1855" t="s">
        <v>3033</v>
      </c>
      <c r="E344" s="1855" t="s">
        <v>3034</v>
      </c>
      <c r="F344" s="1855" t="s">
        <v>2853</v>
      </c>
      <c r="G344" s="1855" t="s">
        <v>22</v>
      </c>
      <c r="H344" s="1855" t="s">
        <v>22</v>
      </c>
      <c r="I344" s="1855" t="s">
        <v>899</v>
      </c>
    </row>
    <row customHeight="1" ht="11.25">
      <c r="A345" s="1855" t="s">
        <v>2391</v>
      </c>
      <c r="B345" s="1855" t="s">
        <v>16</v>
      </c>
      <c r="C345" s="1855" t="s">
        <v>2657</v>
      </c>
      <c r="D345" s="1855" t="s">
        <v>2658</v>
      </c>
      <c r="E345" s="1855" t="s">
        <v>2659</v>
      </c>
      <c r="F345" s="1855" t="s">
        <v>2660</v>
      </c>
      <c r="G345" s="1855" t="s">
        <v>22</v>
      </c>
      <c r="H345" s="1855" t="s">
        <v>22</v>
      </c>
      <c r="I345" s="1855" t="s">
        <v>899</v>
      </c>
    </row>
    <row customHeight="1" ht="11.25">
      <c r="A346" s="1855" t="s">
        <v>2391</v>
      </c>
      <c r="B346" s="1855" t="s">
        <v>16</v>
      </c>
      <c r="C346" s="1855" t="s">
        <v>2671</v>
      </c>
      <c r="D346" s="1855" t="s">
        <v>2672</v>
      </c>
      <c r="E346" s="1855" t="s">
        <v>2673</v>
      </c>
      <c r="F346" s="1855" t="s">
        <v>2399</v>
      </c>
      <c r="G346" s="1855" t="s">
        <v>2674</v>
      </c>
      <c r="H346" s="1855" t="s">
        <v>22</v>
      </c>
      <c r="I346" s="1855" t="s">
        <v>899</v>
      </c>
    </row>
    <row customHeight="1" ht="11.25">
      <c r="A347" s="1855" t="s">
        <v>2391</v>
      </c>
      <c r="B347" s="1855" t="s">
        <v>16</v>
      </c>
      <c r="C347" s="1855" t="s">
        <v>2681</v>
      </c>
      <c r="D347" s="1855" t="s">
        <v>2682</v>
      </c>
      <c r="E347" s="1855" t="s">
        <v>2683</v>
      </c>
      <c r="F347" s="1855" t="s">
        <v>2660</v>
      </c>
      <c r="G347" s="1855" t="s">
        <v>22</v>
      </c>
      <c r="H347" s="1855" t="s">
        <v>22</v>
      </c>
      <c r="I347" s="1855" t="s">
        <v>899</v>
      </c>
    </row>
    <row customHeight="1" ht="11.25">
      <c r="A348" s="1855" t="s">
        <v>2391</v>
      </c>
      <c r="B348" s="1855" t="s">
        <v>16</v>
      </c>
      <c r="C348" s="1855" t="s">
        <v>2684</v>
      </c>
      <c r="D348" s="1855" t="s">
        <v>2685</v>
      </c>
      <c r="E348" s="1855" t="s">
        <v>2686</v>
      </c>
      <c r="F348" s="1855" t="s">
        <v>2423</v>
      </c>
      <c r="G348" s="1855" t="s">
        <v>2687</v>
      </c>
      <c r="H348" s="1855" t="s">
        <v>22</v>
      </c>
      <c r="I348" s="1855" t="s">
        <v>899</v>
      </c>
    </row>
    <row customHeight="1" ht="11.25">
      <c r="A349" s="1855" t="s">
        <v>2391</v>
      </c>
      <c r="B349" s="1855" t="s">
        <v>16</v>
      </c>
      <c r="C349" s="1855" t="s">
        <v>2688</v>
      </c>
      <c r="D349" s="1855" t="s">
        <v>2689</v>
      </c>
      <c r="E349" s="1855" t="s">
        <v>2690</v>
      </c>
      <c r="F349" s="1855" t="s">
        <v>2399</v>
      </c>
      <c r="G349" s="1855" t="s">
        <v>2691</v>
      </c>
      <c r="H349" s="1855" t="s">
        <v>22</v>
      </c>
      <c r="I349" s="1855" t="s">
        <v>899</v>
      </c>
    </row>
    <row customHeight="1" ht="11.25">
      <c r="A350" s="1855" t="s">
        <v>2391</v>
      </c>
      <c r="B350" s="1855" t="s">
        <v>16</v>
      </c>
      <c r="C350" s="1855" t="s">
        <v>3145</v>
      </c>
      <c r="D350" s="1855" t="s">
        <v>3146</v>
      </c>
      <c r="E350" s="1855" t="s">
        <v>3147</v>
      </c>
      <c r="F350" s="1855" t="s">
        <v>2596</v>
      </c>
      <c r="G350" s="1855" t="s">
        <v>22</v>
      </c>
      <c r="H350" s="1855" t="s">
        <v>22</v>
      </c>
      <c r="I350" s="1855" t="s">
        <v>899</v>
      </c>
    </row>
    <row customHeight="1" ht="11.25">
      <c r="A351" s="1855" t="s">
        <v>2391</v>
      </c>
      <c r="B351" s="1855" t="s">
        <v>16</v>
      </c>
      <c r="C351" s="1855" t="s">
        <v>3148</v>
      </c>
      <c r="D351" s="1855" t="s">
        <v>3149</v>
      </c>
      <c r="E351" s="1855" t="s">
        <v>3150</v>
      </c>
      <c r="F351" s="1855" t="s">
        <v>2698</v>
      </c>
      <c r="G351" s="1855" t="s">
        <v>22</v>
      </c>
      <c r="H351" s="1855" t="s">
        <v>22</v>
      </c>
      <c r="I351" s="1855" t="s">
        <v>899</v>
      </c>
    </row>
    <row customHeight="1" ht="11.25">
      <c r="A352" s="1855" t="s">
        <v>2391</v>
      </c>
      <c r="B352" s="1855" t="s">
        <v>16</v>
      </c>
      <c r="C352" s="1855" t="s">
        <v>2692</v>
      </c>
      <c r="D352" s="1855" t="s">
        <v>2693</v>
      </c>
      <c r="E352" s="1855" t="s">
        <v>2694</v>
      </c>
      <c r="F352" s="1855" t="s">
        <v>2427</v>
      </c>
      <c r="G352" s="1855" t="s">
        <v>22</v>
      </c>
      <c r="H352" s="1855" t="s">
        <v>22</v>
      </c>
      <c r="I352" s="1855" t="s">
        <v>899</v>
      </c>
    </row>
    <row customHeight="1" ht="11.25">
      <c r="A353" s="1855" t="s">
        <v>2391</v>
      </c>
      <c r="B353" s="1855" t="s">
        <v>16</v>
      </c>
      <c r="C353" s="1855" t="s">
        <v>3151</v>
      </c>
      <c r="D353" s="1855" t="s">
        <v>3152</v>
      </c>
      <c r="E353" s="1855" t="s">
        <v>3153</v>
      </c>
      <c r="F353" s="1855" t="s">
        <v>2853</v>
      </c>
      <c r="G353" s="1855" t="s">
        <v>22</v>
      </c>
      <c r="H353" s="1855" t="s">
        <v>22</v>
      </c>
      <c r="I353" s="1855" t="s">
        <v>899</v>
      </c>
    </row>
    <row customHeight="1" ht="11.25">
      <c r="A354" s="1855" t="s">
        <v>2391</v>
      </c>
      <c r="B354" s="1855" t="s">
        <v>16</v>
      </c>
      <c r="C354" s="1855" t="s">
        <v>3154</v>
      </c>
      <c r="D354" s="1855" t="s">
        <v>3155</v>
      </c>
      <c r="E354" s="1855" t="s">
        <v>3156</v>
      </c>
      <c r="F354" s="1855" t="s">
        <v>2427</v>
      </c>
      <c r="G354" s="1855" t="s">
        <v>22</v>
      </c>
      <c r="H354" s="1855" t="s">
        <v>22</v>
      </c>
      <c r="I354" s="1855" t="s">
        <v>899</v>
      </c>
    </row>
    <row customHeight="1" ht="11.25">
      <c r="A355" s="1855" t="s">
        <v>2391</v>
      </c>
      <c r="B355" s="1855" t="s">
        <v>16</v>
      </c>
      <c r="C355" s="1855" t="s">
        <v>3157</v>
      </c>
      <c r="D355" s="1855" t="s">
        <v>2707</v>
      </c>
      <c r="E355" s="1855" t="s">
        <v>3158</v>
      </c>
      <c r="F355" s="1855" t="s">
        <v>2853</v>
      </c>
      <c r="G355" s="1855" t="s">
        <v>3159</v>
      </c>
      <c r="H355" s="1855" t="s">
        <v>22</v>
      </c>
      <c r="I355" s="1855" t="s">
        <v>899</v>
      </c>
    </row>
    <row customHeight="1" ht="11.25">
      <c r="A356" s="1855" t="s">
        <v>2391</v>
      </c>
      <c r="B356" s="1855" t="s">
        <v>16</v>
      </c>
      <c r="C356" s="1855" t="s">
        <v>2714</v>
      </c>
      <c r="D356" s="1855" t="s">
        <v>2715</v>
      </c>
      <c r="E356" s="1855" t="s">
        <v>2716</v>
      </c>
      <c r="F356" s="1855" t="s">
        <v>2431</v>
      </c>
      <c r="G356" s="1855" t="s">
        <v>22</v>
      </c>
      <c r="H356" s="1855" t="s">
        <v>22</v>
      </c>
      <c r="I356" s="1855" t="s">
        <v>899</v>
      </c>
    </row>
    <row customHeight="1" ht="11.25">
      <c r="A357" s="1855" t="s">
        <v>2391</v>
      </c>
      <c r="B357" s="1855" t="s">
        <v>16</v>
      </c>
      <c r="C357" s="1855" t="s">
        <v>2720</v>
      </c>
      <c r="D357" s="1855" t="s">
        <v>2721</v>
      </c>
      <c r="E357" s="1855" t="s">
        <v>2722</v>
      </c>
      <c r="F357" s="1855" t="s">
        <v>2427</v>
      </c>
      <c r="G357" s="1855" t="s">
        <v>22</v>
      </c>
      <c r="H357" s="1855" t="s">
        <v>22</v>
      </c>
      <c r="I357" s="1855" t="s">
        <v>899</v>
      </c>
    </row>
    <row customHeight="1" ht="11.25">
      <c r="A358" s="1855" t="s">
        <v>2391</v>
      </c>
      <c r="B358" s="1855" t="s">
        <v>16</v>
      </c>
      <c r="C358" s="1855" t="s">
        <v>3160</v>
      </c>
      <c r="D358" s="1855" t="s">
        <v>3161</v>
      </c>
      <c r="E358" s="1855" t="s">
        <v>3162</v>
      </c>
      <c r="F358" s="1855" t="s">
        <v>2525</v>
      </c>
      <c r="G358" s="1855" t="s">
        <v>22</v>
      </c>
      <c r="H358" s="1855" t="s">
        <v>3163</v>
      </c>
      <c r="I358" s="1855" t="s">
        <v>899</v>
      </c>
    </row>
    <row customHeight="1" ht="11.25">
      <c r="A359" s="1855" t="s">
        <v>2391</v>
      </c>
      <c r="B359" s="1855" t="s">
        <v>16</v>
      </c>
      <c r="C359" s="1855" t="s">
        <v>2723</v>
      </c>
      <c r="D359" s="1855" t="s">
        <v>2724</v>
      </c>
      <c r="E359" s="1855" t="s">
        <v>2725</v>
      </c>
      <c r="F359" s="1855" t="s">
        <v>2486</v>
      </c>
      <c r="G359" s="1855" t="s">
        <v>22</v>
      </c>
      <c r="H359" s="1855" t="s">
        <v>22</v>
      </c>
      <c r="I359" s="1855" t="s">
        <v>899</v>
      </c>
    </row>
    <row customHeight="1" ht="11.25">
      <c r="A360" s="1855" t="s">
        <v>2391</v>
      </c>
      <c r="B360" s="1855" t="s">
        <v>16</v>
      </c>
      <c r="C360" s="1855" t="s">
        <v>2732</v>
      </c>
      <c r="D360" s="1855" t="s">
        <v>2733</v>
      </c>
      <c r="E360" s="1855" t="s">
        <v>2734</v>
      </c>
      <c r="F360" s="1855" t="s">
        <v>2735</v>
      </c>
      <c r="G360" s="1855" t="s">
        <v>22</v>
      </c>
      <c r="H360" s="1855" t="s">
        <v>22</v>
      </c>
      <c r="I360" s="1855" t="s">
        <v>899</v>
      </c>
    </row>
    <row customHeight="1" ht="11.25">
      <c r="A361" s="1855" t="s">
        <v>2391</v>
      </c>
      <c r="B361" s="1855" t="s">
        <v>16</v>
      </c>
      <c r="C361" s="1855" t="s">
        <v>2736</v>
      </c>
      <c r="D361" s="1855" t="s">
        <v>2737</v>
      </c>
      <c r="E361" s="1855" t="s">
        <v>2738</v>
      </c>
      <c r="F361" s="1855" t="s">
        <v>2735</v>
      </c>
      <c r="G361" s="1855" t="s">
        <v>22</v>
      </c>
      <c r="H361" s="1855" t="s">
        <v>22</v>
      </c>
      <c r="I361" s="1855" t="s">
        <v>899</v>
      </c>
    </row>
    <row customHeight="1" ht="11.25">
      <c r="A362" s="1855" t="s">
        <v>2391</v>
      </c>
      <c r="B362" s="1855" t="s">
        <v>16</v>
      </c>
      <c r="C362" s="1855" t="s">
        <v>2742</v>
      </c>
      <c r="D362" s="1855" t="s">
        <v>2740</v>
      </c>
      <c r="E362" s="1855" t="s">
        <v>2743</v>
      </c>
      <c r="F362" s="1855" t="s">
        <v>2735</v>
      </c>
      <c r="G362" s="1855" t="s">
        <v>22</v>
      </c>
      <c r="H362" s="1855" t="s">
        <v>22</v>
      </c>
      <c r="I362" s="1855" t="s">
        <v>899</v>
      </c>
    </row>
    <row customHeight="1" ht="11.25">
      <c r="A363" s="1855" t="s">
        <v>2391</v>
      </c>
      <c r="B363" s="1855" t="s">
        <v>16</v>
      </c>
      <c r="C363" s="1855" t="s">
        <v>2744</v>
      </c>
      <c r="D363" s="1855" t="s">
        <v>2745</v>
      </c>
      <c r="E363" s="1855" t="s">
        <v>2746</v>
      </c>
      <c r="F363" s="1855" t="s">
        <v>2399</v>
      </c>
      <c r="G363" s="1855" t="s">
        <v>22</v>
      </c>
      <c r="H363" s="1855" t="s">
        <v>22</v>
      </c>
      <c r="I363" s="1855" t="s">
        <v>899</v>
      </c>
    </row>
    <row customHeight="1" ht="11.25">
      <c r="A364" s="1855" t="s">
        <v>2391</v>
      </c>
      <c r="B364" s="1855" t="s">
        <v>16</v>
      </c>
      <c r="C364" s="1855" t="s">
        <v>2753</v>
      </c>
      <c r="D364" s="1855" t="s">
        <v>2754</v>
      </c>
      <c r="E364" s="1855" t="s">
        <v>2755</v>
      </c>
      <c r="F364" s="1855" t="s">
        <v>2399</v>
      </c>
      <c r="G364" s="1855" t="s">
        <v>2756</v>
      </c>
      <c r="H364" s="1855" t="s">
        <v>22</v>
      </c>
      <c r="I364" s="1855" t="s">
        <v>899</v>
      </c>
    </row>
    <row customHeight="1" ht="11.25">
      <c r="A365" s="1855" t="s">
        <v>2391</v>
      </c>
      <c r="B365" s="1855" t="s">
        <v>16</v>
      </c>
      <c r="C365" s="1855" t="s">
        <v>2757</v>
      </c>
      <c r="D365" s="1855" t="s">
        <v>2758</v>
      </c>
      <c r="E365" s="1855" t="s">
        <v>2759</v>
      </c>
      <c r="F365" s="1855" t="s">
        <v>2399</v>
      </c>
      <c r="G365" s="1855" t="s">
        <v>22</v>
      </c>
      <c r="H365" s="1855" t="s">
        <v>22</v>
      </c>
      <c r="I365" s="1855" t="s">
        <v>899</v>
      </c>
    </row>
    <row customHeight="1" ht="11.25">
      <c r="A366" s="1855" t="s">
        <v>2391</v>
      </c>
      <c r="B366" s="1855" t="s">
        <v>16</v>
      </c>
      <c r="C366" s="1855" t="s">
        <v>2766</v>
      </c>
      <c r="D366" s="1855" t="s">
        <v>2767</v>
      </c>
      <c r="E366" s="1855" t="s">
        <v>2768</v>
      </c>
      <c r="F366" s="1855" t="s">
        <v>2769</v>
      </c>
      <c r="G366" s="1855" t="s">
        <v>22</v>
      </c>
      <c r="H366" s="1855" t="s">
        <v>22</v>
      </c>
      <c r="I366" s="1855" t="s">
        <v>899</v>
      </c>
    </row>
    <row customHeight="1" ht="11.25">
      <c r="A367" s="1855" t="s">
        <v>2391</v>
      </c>
      <c r="B367" s="1855" t="s">
        <v>16</v>
      </c>
      <c r="C367" s="1855" t="s">
        <v>2770</v>
      </c>
      <c r="D367" s="1855" t="s">
        <v>2771</v>
      </c>
      <c r="E367" s="1855" t="s">
        <v>2772</v>
      </c>
      <c r="F367" s="1855" t="s">
        <v>2510</v>
      </c>
      <c r="G367" s="1855" t="s">
        <v>22</v>
      </c>
      <c r="H367" s="1855" t="s">
        <v>22</v>
      </c>
      <c r="I367" s="1855" t="s">
        <v>899</v>
      </c>
    </row>
    <row customHeight="1" ht="11.25">
      <c r="A368" s="1855" t="s">
        <v>2391</v>
      </c>
      <c r="B368" s="1855" t="s">
        <v>16</v>
      </c>
      <c r="C368" s="1855" t="s">
        <v>2780</v>
      </c>
      <c r="D368" s="1855" t="s">
        <v>2781</v>
      </c>
      <c r="E368" s="1855" t="s">
        <v>2782</v>
      </c>
      <c r="F368" s="1855" t="s">
        <v>2475</v>
      </c>
      <c r="G368" s="1855" t="s">
        <v>22</v>
      </c>
      <c r="H368" s="1855" t="s">
        <v>22</v>
      </c>
      <c r="I368" s="1855" t="s">
        <v>899</v>
      </c>
    </row>
    <row customHeight="1" ht="11.25">
      <c r="A369" s="1855" t="s">
        <v>2391</v>
      </c>
      <c r="B369" s="1855" t="s">
        <v>16</v>
      </c>
      <c r="C369" s="1855" t="s">
        <v>3164</v>
      </c>
      <c r="D369" s="1855" t="s">
        <v>3165</v>
      </c>
      <c r="E369" s="1855" t="s">
        <v>3166</v>
      </c>
      <c r="F369" s="1855" t="s">
        <v>2619</v>
      </c>
      <c r="G369" s="1855" t="s">
        <v>22</v>
      </c>
      <c r="H369" s="1855" t="s">
        <v>22</v>
      </c>
      <c r="I369" s="1855" t="s">
        <v>899</v>
      </c>
    </row>
    <row customHeight="1" ht="11.25">
      <c r="A370" s="1855" t="s">
        <v>2391</v>
      </c>
      <c r="B370" s="1855" t="s">
        <v>16</v>
      </c>
      <c r="C370" s="1855" t="s">
        <v>2793</v>
      </c>
      <c r="D370" s="1855" t="s">
        <v>2794</v>
      </c>
      <c r="E370" s="1855" t="s">
        <v>2795</v>
      </c>
      <c r="F370" s="1855" t="s">
        <v>2399</v>
      </c>
      <c r="G370" s="1855" t="s">
        <v>22</v>
      </c>
      <c r="H370" s="1855" t="s">
        <v>22</v>
      </c>
      <c r="I370" s="1855" t="s">
        <v>899</v>
      </c>
    </row>
    <row customHeight="1" ht="11.25">
      <c r="A371" s="1855" t="s">
        <v>2391</v>
      </c>
      <c r="B371" s="1855" t="s">
        <v>16</v>
      </c>
      <c r="C371" s="1855" t="s">
        <v>2799</v>
      </c>
      <c r="D371" s="1855" t="s">
        <v>2800</v>
      </c>
      <c r="E371" s="1855" t="s">
        <v>2801</v>
      </c>
      <c r="F371" s="1855" t="s">
        <v>2619</v>
      </c>
      <c r="G371" s="1855" t="s">
        <v>22</v>
      </c>
      <c r="H371" s="1855" t="s">
        <v>22</v>
      </c>
      <c r="I371" s="1855" t="s">
        <v>899</v>
      </c>
    </row>
    <row customHeight="1" ht="11.25">
      <c r="A372" s="1855" t="s">
        <v>2391</v>
      </c>
      <c r="B372" s="1855" t="s">
        <v>16</v>
      </c>
      <c r="C372" s="1855" t="s">
        <v>3167</v>
      </c>
      <c r="D372" s="1855" t="s">
        <v>3168</v>
      </c>
      <c r="E372" s="1855" t="s">
        <v>3169</v>
      </c>
      <c r="F372" s="1855" t="s">
        <v>2447</v>
      </c>
      <c r="G372" s="1855" t="s">
        <v>22</v>
      </c>
      <c r="H372" s="1855" t="s">
        <v>22</v>
      </c>
      <c r="I372" s="1855" t="s">
        <v>899</v>
      </c>
    </row>
    <row customHeight="1" ht="11.25">
      <c r="A373" s="1855" t="s">
        <v>2391</v>
      </c>
      <c r="B373" s="1855" t="s">
        <v>16</v>
      </c>
      <c r="C373" s="1855" t="s">
        <v>3170</v>
      </c>
      <c r="D373" s="1855" t="s">
        <v>3171</v>
      </c>
      <c r="E373" s="1855" t="s">
        <v>3172</v>
      </c>
      <c r="F373" s="1855" t="s">
        <v>2493</v>
      </c>
      <c r="G373" s="1855" t="s">
        <v>22</v>
      </c>
      <c r="H373" s="1855" t="s">
        <v>22</v>
      </c>
      <c r="I373" s="1855" t="s">
        <v>899</v>
      </c>
    </row>
    <row customHeight="1" ht="11.25">
      <c r="A374" s="1855" t="s">
        <v>2391</v>
      </c>
      <c r="B374" s="1855" t="s">
        <v>16</v>
      </c>
      <c r="C374" s="1855" t="s">
        <v>2808</v>
      </c>
      <c r="D374" s="1855" t="s">
        <v>2809</v>
      </c>
      <c r="E374" s="1855" t="s">
        <v>2810</v>
      </c>
      <c r="F374" s="1855" t="s">
        <v>2399</v>
      </c>
      <c r="G374" s="1855" t="s">
        <v>2811</v>
      </c>
      <c r="H374" s="1855" t="s">
        <v>22</v>
      </c>
      <c r="I374" s="1855" t="s">
        <v>899</v>
      </c>
    </row>
    <row customHeight="1" ht="11.25">
      <c r="A375" s="1855" t="s">
        <v>2391</v>
      </c>
      <c r="B375" s="1855" t="s">
        <v>16</v>
      </c>
      <c r="C375" s="1855" t="s">
        <v>3173</v>
      </c>
      <c r="D375" s="1855" t="s">
        <v>2809</v>
      </c>
      <c r="E375" s="1855" t="s">
        <v>3174</v>
      </c>
      <c r="F375" s="1855" t="s">
        <v>2619</v>
      </c>
      <c r="G375" s="1855" t="s">
        <v>22</v>
      </c>
      <c r="H375" s="1855" t="s">
        <v>22</v>
      </c>
      <c r="I375" s="1855" t="s">
        <v>899</v>
      </c>
    </row>
    <row customHeight="1" ht="11.25">
      <c r="A376" s="1855" t="s">
        <v>2391</v>
      </c>
      <c r="B376" s="1855" t="s">
        <v>16</v>
      </c>
      <c r="C376" s="1855" t="s">
        <v>3175</v>
      </c>
      <c r="D376" s="1855" t="s">
        <v>3176</v>
      </c>
      <c r="E376" s="1855" t="s">
        <v>3177</v>
      </c>
      <c r="F376" s="1855" t="s">
        <v>2660</v>
      </c>
      <c r="G376" s="1855" t="s">
        <v>22</v>
      </c>
      <c r="H376" s="1855" t="s">
        <v>22</v>
      </c>
      <c r="I376" s="1855" t="s">
        <v>899</v>
      </c>
    </row>
    <row customHeight="1" ht="11.25">
      <c r="A377" s="1855" t="s">
        <v>2391</v>
      </c>
      <c r="B377" s="1855" t="s">
        <v>16</v>
      </c>
      <c r="C377" s="1855" t="s">
        <v>3178</v>
      </c>
      <c r="D377" s="1855" t="s">
        <v>3179</v>
      </c>
      <c r="E377" s="1855" t="s">
        <v>3180</v>
      </c>
      <c r="F377" s="1855" t="s">
        <v>2475</v>
      </c>
      <c r="G377" s="1855" t="s">
        <v>22</v>
      </c>
      <c r="H377" s="1855" t="s">
        <v>22</v>
      </c>
      <c r="I377" s="1855" t="s">
        <v>899</v>
      </c>
    </row>
    <row customHeight="1" ht="11.25">
      <c r="A378" s="1855" t="s">
        <v>2391</v>
      </c>
      <c r="B378" s="1855" t="s">
        <v>16</v>
      </c>
      <c r="C378" s="1855" t="s">
        <v>3181</v>
      </c>
      <c r="D378" s="1855" t="s">
        <v>3179</v>
      </c>
      <c r="E378" s="1855" t="s">
        <v>3182</v>
      </c>
      <c r="F378" s="1855" t="s">
        <v>2529</v>
      </c>
      <c r="G378" s="1855" t="s">
        <v>3183</v>
      </c>
      <c r="H378" s="1855" t="s">
        <v>22</v>
      </c>
      <c r="I378" s="1855" t="s">
        <v>899</v>
      </c>
    </row>
    <row customHeight="1" ht="11.25">
      <c r="A379" s="1855" t="s">
        <v>2391</v>
      </c>
      <c r="B379" s="1855" t="s">
        <v>16</v>
      </c>
      <c r="C379" s="1855" t="s">
        <v>2812</v>
      </c>
      <c r="D379" s="1855" t="s">
        <v>2813</v>
      </c>
      <c r="E379" s="1855" t="s">
        <v>2814</v>
      </c>
      <c r="F379" s="1855" t="s">
        <v>2619</v>
      </c>
      <c r="G379" s="1855" t="s">
        <v>2815</v>
      </c>
      <c r="H379" s="1855" t="s">
        <v>22</v>
      </c>
      <c r="I379" s="1855" t="s">
        <v>899</v>
      </c>
    </row>
    <row customHeight="1" ht="11.25">
      <c r="A380" s="1855" t="s">
        <v>2391</v>
      </c>
      <c r="B380" s="1855" t="s">
        <v>16</v>
      </c>
      <c r="C380" s="1855" t="s">
        <v>2816</v>
      </c>
      <c r="D380" s="1855" t="s">
        <v>2817</v>
      </c>
      <c r="E380" s="1855" t="s">
        <v>2818</v>
      </c>
      <c r="F380" s="1855" t="s">
        <v>2399</v>
      </c>
      <c r="G380" s="1855" t="s">
        <v>22</v>
      </c>
      <c r="H380" s="1855" t="s">
        <v>22</v>
      </c>
      <c r="I380" s="1855" t="s">
        <v>899</v>
      </c>
    </row>
    <row customHeight="1" ht="11.25">
      <c r="A381" s="1855" t="s">
        <v>2391</v>
      </c>
      <c r="B381" s="1855" t="s">
        <v>16</v>
      </c>
      <c r="C381" s="1855" t="s">
        <v>2819</v>
      </c>
      <c r="D381" s="1855" t="s">
        <v>2820</v>
      </c>
      <c r="E381" s="1855" t="s">
        <v>2821</v>
      </c>
      <c r="F381" s="1855" t="s">
        <v>2399</v>
      </c>
      <c r="G381" s="1855" t="s">
        <v>22</v>
      </c>
      <c r="H381" s="1855" t="s">
        <v>22</v>
      </c>
      <c r="I381" s="1855" t="s">
        <v>899</v>
      </c>
    </row>
    <row customHeight="1" ht="11.25">
      <c r="A382" s="1855" t="s">
        <v>2391</v>
      </c>
      <c r="B382" s="1855" t="s">
        <v>16</v>
      </c>
      <c r="C382" s="1855" t="s">
        <v>2826</v>
      </c>
      <c r="D382" s="1855" t="s">
        <v>2827</v>
      </c>
      <c r="E382" s="1855" t="s">
        <v>2828</v>
      </c>
      <c r="F382" s="1855" t="s">
        <v>2619</v>
      </c>
      <c r="G382" s="1855" t="s">
        <v>22</v>
      </c>
      <c r="H382" s="1855" t="s">
        <v>22</v>
      </c>
      <c r="I382" s="1855" t="s">
        <v>899</v>
      </c>
    </row>
    <row customHeight="1" ht="11.25">
      <c r="A383" s="1855" t="s">
        <v>2391</v>
      </c>
      <c r="B383" s="1855" t="s">
        <v>16</v>
      </c>
      <c r="C383" s="1855" t="s">
        <v>3184</v>
      </c>
      <c r="D383" s="1855" t="s">
        <v>3185</v>
      </c>
      <c r="E383" s="1855" t="s">
        <v>3186</v>
      </c>
      <c r="F383" s="1855" t="s">
        <v>2399</v>
      </c>
      <c r="G383" s="1855" t="s">
        <v>22</v>
      </c>
      <c r="H383" s="1855" t="s">
        <v>22</v>
      </c>
      <c r="I383" s="1855" t="s">
        <v>899</v>
      </c>
    </row>
    <row customHeight="1" ht="11.25">
      <c r="A384" s="1855" t="s">
        <v>2391</v>
      </c>
      <c r="B384" s="1855" t="s">
        <v>16</v>
      </c>
      <c r="C384" s="1855" t="s">
        <v>2829</v>
      </c>
      <c r="D384" s="1855" t="s">
        <v>2830</v>
      </c>
      <c r="E384" s="1855" t="s">
        <v>2831</v>
      </c>
      <c r="F384" s="1855" t="s">
        <v>2399</v>
      </c>
      <c r="G384" s="1855" t="s">
        <v>22</v>
      </c>
      <c r="H384" s="1855" t="s">
        <v>22</v>
      </c>
      <c r="I384" s="1855" t="s">
        <v>899</v>
      </c>
    </row>
    <row customHeight="1" ht="11.25">
      <c r="A385" s="1855" t="s">
        <v>2391</v>
      </c>
      <c r="B385" s="1855" t="s">
        <v>16</v>
      </c>
      <c r="C385" s="1855" t="s">
        <v>2832</v>
      </c>
      <c r="D385" s="1855" t="s">
        <v>2830</v>
      </c>
      <c r="E385" s="1855" t="s">
        <v>2831</v>
      </c>
      <c r="F385" s="1855" t="s">
        <v>2510</v>
      </c>
      <c r="G385" s="1855" t="s">
        <v>2833</v>
      </c>
      <c r="H385" s="1855" t="s">
        <v>22</v>
      </c>
      <c r="I385" s="1855" t="s">
        <v>899</v>
      </c>
    </row>
    <row customHeight="1" ht="11.25">
      <c r="A386" s="1855" t="s">
        <v>2391</v>
      </c>
      <c r="B386" s="1855" t="s">
        <v>16</v>
      </c>
      <c r="C386" s="1855" t="s">
        <v>3187</v>
      </c>
      <c r="D386" s="1855" t="s">
        <v>3188</v>
      </c>
      <c r="E386" s="1855" t="s">
        <v>3189</v>
      </c>
      <c r="F386" s="1855" t="s">
        <v>2399</v>
      </c>
      <c r="G386" s="1855" t="s">
        <v>22</v>
      </c>
      <c r="H386" s="1855" t="s">
        <v>22</v>
      </c>
      <c r="I386" s="1855" t="s">
        <v>899</v>
      </c>
    </row>
    <row customHeight="1" ht="11.25">
      <c r="A387" s="1855" t="s">
        <v>2391</v>
      </c>
      <c r="B387" s="1855" t="s">
        <v>16</v>
      </c>
      <c r="C387" s="1855" t="s">
        <v>3190</v>
      </c>
      <c r="D387" s="1855" t="s">
        <v>3191</v>
      </c>
      <c r="E387" s="1855" t="s">
        <v>3192</v>
      </c>
      <c r="F387" s="1855" t="s">
        <v>2427</v>
      </c>
      <c r="G387" s="1855" t="s">
        <v>3193</v>
      </c>
      <c r="H387" s="1855" t="s">
        <v>22</v>
      </c>
      <c r="I387" s="1855" t="s">
        <v>899</v>
      </c>
    </row>
    <row customHeight="1" ht="11.25">
      <c r="A388" s="1855" t="s">
        <v>2391</v>
      </c>
      <c r="B388" s="1855" t="s">
        <v>16</v>
      </c>
      <c r="C388" s="1855" t="s">
        <v>2840</v>
      </c>
      <c r="D388" s="1855" t="s">
        <v>2841</v>
      </c>
      <c r="E388" s="1855" t="s">
        <v>2842</v>
      </c>
      <c r="F388" s="1855" t="s">
        <v>2619</v>
      </c>
      <c r="G388" s="1855" t="s">
        <v>22</v>
      </c>
      <c r="H388" s="1855" t="s">
        <v>22</v>
      </c>
      <c r="I388" s="1855" t="s">
        <v>899</v>
      </c>
    </row>
    <row customHeight="1" ht="11.25">
      <c r="A389" s="1855" t="s">
        <v>2391</v>
      </c>
      <c r="B389" s="1855" t="s">
        <v>16</v>
      </c>
      <c r="C389" s="1855" t="s">
        <v>3194</v>
      </c>
      <c r="D389" s="1855" t="s">
        <v>3195</v>
      </c>
      <c r="E389" s="1855" t="s">
        <v>3196</v>
      </c>
      <c r="F389" s="1855" t="s">
        <v>2525</v>
      </c>
      <c r="G389" s="1855" t="s">
        <v>22</v>
      </c>
      <c r="H389" s="1855" t="s">
        <v>22</v>
      </c>
      <c r="I389" s="1855" t="s">
        <v>899</v>
      </c>
    </row>
    <row customHeight="1" ht="11.25">
      <c r="A390" s="1855" t="s">
        <v>2391</v>
      </c>
      <c r="B390" s="1855" t="s">
        <v>16</v>
      </c>
      <c r="C390" s="1855" t="s">
        <v>2843</v>
      </c>
      <c r="D390" s="1855" t="s">
        <v>2844</v>
      </c>
      <c r="E390" s="1855" t="s">
        <v>2845</v>
      </c>
      <c r="F390" s="1855" t="s">
        <v>2427</v>
      </c>
      <c r="G390" s="1855" t="s">
        <v>22</v>
      </c>
      <c r="H390" s="1855" t="s">
        <v>22</v>
      </c>
      <c r="I390" s="1855" t="s">
        <v>899</v>
      </c>
    </row>
    <row customHeight="1" ht="11.25">
      <c r="A391" s="1855" t="s">
        <v>2391</v>
      </c>
      <c r="B391" s="1855" t="s">
        <v>16</v>
      </c>
      <c r="C391" s="1855" t="s">
        <v>2850</v>
      </c>
      <c r="D391" s="1855" t="s">
        <v>2851</v>
      </c>
      <c r="E391" s="1855" t="s">
        <v>2852</v>
      </c>
      <c r="F391" s="1855" t="s">
        <v>2853</v>
      </c>
      <c r="G391" s="1855" t="s">
        <v>22</v>
      </c>
      <c r="H391" s="1855" t="s">
        <v>22</v>
      </c>
      <c r="I391" s="1855" t="s">
        <v>899</v>
      </c>
    </row>
    <row customHeight="1" ht="11.25">
      <c r="A392" s="1855" t="s">
        <v>2391</v>
      </c>
      <c r="B392" s="1855" t="s">
        <v>16</v>
      </c>
      <c r="C392" s="1855" t="s">
        <v>3197</v>
      </c>
      <c r="D392" s="1855" t="s">
        <v>3198</v>
      </c>
      <c r="E392" s="1855" t="s">
        <v>3199</v>
      </c>
      <c r="F392" s="1855" t="s">
        <v>2619</v>
      </c>
      <c r="G392" s="1855" t="s">
        <v>22</v>
      </c>
      <c r="H392" s="1855" t="s">
        <v>22</v>
      </c>
      <c r="I392" s="1855" t="s">
        <v>899</v>
      </c>
    </row>
    <row customHeight="1" ht="11.25">
      <c r="A393" s="1855" t="s">
        <v>2391</v>
      </c>
      <c r="B393" s="1855" t="s">
        <v>16</v>
      </c>
      <c r="C393" s="1855" t="s">
        <v>2882</v>
      </c>
      <c r="D393" s="1855" t="s">
        <v>2883</v>
      </c>
      <c r="E393" s="1855" t="s">
        <v>2884</v>
      </c>
      <c r="F393" s="1855" t="s">
        <v>2698</v>
      </c>
      <c r="G393" s="1855" t="s">
        <v>22</v>
      </c>
      <c r="H393" s="1855" t="s">
        <v>22</v>
      </c>
      <c r="I393" s="1855" t="s">
        <v>899</v>
      </c>
    </row>
    <row customHeight="1" ht="11.25">
      <c r="A394" s="1855" t="s">
        <v>2391</v>
      </c>
      <c r="B394" s="1855" t="s">
        <v>16</v>
      </c>
      <c r="C394" s="1855" t="s">
        <v>2885</v>
      </c>
      <c r="D394" s="1855" t="s">
        <v>2886</v>
      </c>
      <c r="E394" s="1855" t="s">
        <v>2887</v>
      </c>
      <c r="F394" s="1855" t="s">
        <v>2525</v>
      </c>
      <c r="G394" s="1855" t="s">
        <v>2888</v>
      </c>
      <c r="H394" s="1855" t="s">
        <v>22</v>
      </c>
      <c r="I394" s="1855" t="s">
        <v>899</v>
      </c>
    </row>
    <row customHeight="1" ht="11.25">
      <c r="A395" s="1855" t="s">
        <v>2391</v>
      </c>
      <c r="B395" s="1855" t="s">
        <v>16</v>
      </c>
      <c r="C395" s="1855" t="s">
        <v>2918</v>
      </c>
      <c r="D395" s="1855" t="s">
        <v>2919</v>
      </c>
      <c r="E395" s="1855" t="s">
        <v>2920</v>
      </c>
      <c r="F395" s="1855" t="s">
        <v>2525</v>
      </c>
      <c r="G395" s="1855" t="s">
        <v>22</v>
      </c>
      <c r="H395" s="1855" t="s">
        <v>22</v>
      </c>
      <c r="I395" s="1855" t="s">
        <v>899</v>
      </c>
    </row>
    <row customHeight="1" ht="11.25">
      <c r="A396" s="1855" t="s">
        <v>2391</v>
      </c>
      <c r="B396" s="1855" t="s">
        <v>16</v>
      </c>
      <c r="C396" s="1855" t="s">
        <v>2921</v>
      </c>
      <c r="D396" s="1855" t="s">
        <v>2922</v>
      </c>
      <c r="E396" s="1855" t="s">
        <v>2923</v>
      </c>
      <c r="F396" s="1855" t="s">
        <v>2619</v>
      </c>
      <c r="G396" s="1855" t="s">
        <v>22</v>
      </c>
      <c r="H396" s="1855" t="s">
        <v>22</v>
      </c>
      <c r="I396" s="1855" t="s">
        <v>899</v>
      </c>
    </row>
    <row customHeight="1" ht="11.25">
      <c r="A397" s="1855" t="s">
        <v>2391</v>
      </c>
      <c r="B397" s="1855" t="s">
        <v>16</v>
      </c>
      <c r="C397" s="1855" t="s">
        <v>3200</v>
      </c>
      <c r="D397" s="1855" t="s">
        <v>3201</v>
      </c>
      <c r="E397" s="1855" t="s">
        <v>3202</v>
      </c>
      <c r="F397" s="1855" t="s">
        <v>2525</v>
      </c>
      <c r="G397" s="1855" t="s">
        <v>22</v>
      </c>
      <c r="H397" s="1855" t="s">
        <v>22</v>
      </c>
      <c r="I397" s="1855" t="s">
        <v>899</v>
      </c>
    </row>
    <row customHeight="1" ht="11.25">
      <c r="A398" s="1855" t="s">
        <v>2391</v>
      </c>
      <c r="B398" s="1855" t="s">
        <v>16</v>
      </c>
      <c r="C398" s="1855" t="s">
        <v>3203</v>
      </c>
      <c r="D398" s="1855" t="s">
        <v>3204</v>
      </c>
      <c r="E398" s="1855" t="s">
        <v>3205</v>
      </c>
      <c r="F398" s="1855" t="s">
        <v>3206</v>
      </c>
      <c r="G398" s="1855" t="s">
        <v>22</v>
      </c>
      <c r="H398" s="1855" t="s">
        <v>22</v>
      </c>
      <c r="I398" s="1855" t="s">
        <v>899</v>
      </c>
    </row>
    <row customHeight="1" ht="11.25">
      <c r="A399" s="1855" t="s">
        <v>2391</v>
      </c>
      <c r="B399" s="1855" t="s">
        <v>16</v>
      </c>
      <c r="C399" s="1855" t="s">
        <v>3207</v>
      </c>
      <c r="D399" s="1855" t="s">
        <v>3208</v>
      </c>
      <c r="E399" s="1855" t="s">
        <v>3209</v>
      </c>
      <c r="F399" s="1855" t="s">
        <v>2475</v>
      </c>
      <c r="G399" s="1855" t="s">
        <v>22</v>
      </c>
      <c r="H399" s="1855" t="s">
        <v>22</v>
      </c>
      <c r="I399" s="1855" t="s">
        <v>899</v>
      </c>
    </row>
    <row customHeight="1" ht="11.25">
      <c r="A400" s="1855" t="s">
        <v>2391</v>
      </c>
      <c r="B400" s="1855" t="s">
        <v>16</v>
      </c>
      <c r="C400" s="1855" t="s">
        <v>3210</v>
      </c>
      <c r="D400" s="1855" t="s">
        <v>3211</v>
      </c>
      <c r="E400" s="1855" t="s">
        <v>3212</v>
      </c>
      <c r="F400" s="1855" t="s">
        <v>2525</v>
      </c>
      <c r="G400" s="1855" t="s">
        <v>22</v>
      </c>
      <c r="H400" s="1855" t="s">
        <v>22</v>
      </c>
      <c r="I400" s="1855" t="s">
        <v>899</v>
      </c>
    </row>
    <row customHeight="1" ht="11.25">
      <c r="A401" s="1855" t="s">
        <v>2391</v>
      </c>
      <c r="B401" s="1855" t="s">
        <v>16</v>
      </c>
      <c r="C401" s="1855" t="s">
        <v>2937</v>
      </c>
      <c r="D401" s="1855" t="s">
        <v>2938</v>
      </c>
      <c r="E401" s="1855" t="s">
        <v>2939</v>
      </c>
      <c r="F401" s="1855" t="s">
        <v>2525</v>
      </c>
      <c r="G401" s="1855" t="s">
        <v>22</v>
      </c>
      <c r="H401" s="1855" t="s">
        <v>22</v>
      </c>
      <c r="I401" s="1855" t="s">
        <v>899</v>
      </c>
    </row>
    <row customHeight="1" ht="11.25">
      <c r="A402" s="1855" t="s">
        <v>2391</v>
      </c>
      <c r="B402" s="1855" t="s">
        <v>16</v>
      </c>
      <c r="C402" s="1855" t="s">
        <v>3213</v>
      </c>
      <c r="D402" s="1855" t="s">
        <v>3214</v>
      </c>
      <c r="E402" s="1855" t="s">
        <v>3215</v>
      </c>
      <c r="F402" s="1855" t="s">
        <v>2493</v>
      </c>
      <c r="G402" s="1855" t="s">
        <v>22</v>
      </c>
      <c r="H402" s="1855" t="s">
        <v>22</v>
      </c>
      <c r="I402" s="1855" t="s">
        <v>899</v>
      </c>
    </row>
    <row customHeight="1" ht="11.25">
      <c r="A403" s="1855" t="s">
        <v>2391</v>
      </c>
      <c r="B403" s="1855" t="s">
        <v>16</v>
      </c>
      <c r="C403" s="1855" t="s">
        <v>2956</v>
      </c>
      <c r="D403" s="1855" t="s">
        <v>2957</v>
      </c>
      <c r="E403" s="1855" t="s">
        <v>2958</v>
      </c>
      <c r="F403" s="1855" t="s">
        <v>2399</v>
      </c>
      <c r="G403" s="1855" t="s">
        <v>22</v>
      </c>
      <c r="H403" s="1855" t="s">
        <v>22</v>
      </c>
      <c r="I403" s="1855" t="s">
        <v>899</v>
      </c>
    </row>
    <row customHeight="1" ht="11.25">
      <c r="A404" s="1855" t="s">
        <v>2391</v>
      </c>
      <c r="B404" s="1855" t="s">
        <v>16</v>
      </c>
      <c r="C404" s="1855" t="s">
        <v>2959</v>
      </c>
      <c r="D404" s="1855" t="s">
        <v>2960</v>
      </c>
      <c r="E404" s="1855" t="s">
        <v>2961</v>
      </c>
      <c r="F404" s="1855" t="s">
        <v>2475</v>
      </c>
      <c r="G404" s="1855" t="s">
        <v>22</v>
      </c>
      <c r="H404" s="1855" t="s">
        <v>22</v>
      </c>
      <c r="I404" s="1855" t="s">
        <v>899</v>
      </c>
    </row>
    <row customHeight="1" ht="11.25">
      <c r="A405" s="1855" t="s">
        <v>2391</v>
      </c>
      <c r="B405" s="1855" t="s">
        <v>16</v>
      </c>
      <c r="C405" s="1855" t="s">
        <v>2972</v>
      </c>
      <c r="D405" s="1855" t="s">
        <v>2973</v>
      </c>
      <c r="E405" s="1855" t="s">
        <v>2974</v>
      </c>
      <c r="F405" s="1855" t="s">
        <v>2442</v>
      </c>
      <c r="G405" s="1855" t="s">
        <v>22</v>
      </c>
      <c r="H405" s="1855" t="s">
        <v>22</v>
      </c>
      <c r="I405" s="1855" t="s">
        <v>899</v>
      </c>
    </row>
    <row customHeight="1" ht="11.25">
      <c r="A406" s="1855" t="s">
        <v>2391</v>
      </c>
      <c r="B406" s="1855" t="s">
        <v>16</v>
      </c>
      <c r="C406" s="1855" t="s">
        <v>3216</v>
      </c>
      <c r="D406" s="1855" t="s">
        <v>3217</v>
      </c>
      <c r="E406" s="1855" t="s">
        <v>3218</v>
      </c>
      <c r="F406" s="1855" t="s">
        <v>2510</v>
      </c>
      <c r="G406" s="1855" t="s">
        <v>22</v>
      </c>
      <c r="H406" s="1855" t="s">
        <v>22</v>
      </c>
      <c r="I406" s="1855" t="s">
        <v>899</v>
      </c>
    </row>
    <row customHeight="1" ht="11.25">
      <c r="A407" s="1855" t="s">
        <v>2391</v>
      </c>
      <c r="B407" s="1855" t="s">
        <v>16</v>
      </c>
      <c r="C407" s="1855" t="s">
        <v>3219</v>
      </c>
      <c r="D407" s="1855" t="s">
        <v>3220</v>
      </c>
      <c r="E407" s="1855" t="s">
        <v>3221</v>
      </c>
      <c r="F407" s="1855" t="s">
        <v>2667</v>
      </c>
      <c r="G407" s="1855" t="s">
        <v>22</v>
      </c>
      <c r="H407" s="1855" t="s">
        <v>22</v>
      </c>
      <c r="I407" s="1855" t="s">
        <v>899</v>
      </c>
    </row>
    <row customHeight="1" ht="11.25">
      <c r="A408" s="1855" t="s">
        <v>2391</v>
      </c>
      <c r="B408" s="1855" t="s">
        <v>16</v>
      </c>
      <c r="C408" s="1855" t="s">
        <v>3222</v>
      </c>
      <c r="D408" s="1855" t="s">
        <v>3223</v>
      </c>
      <c r="E408" s="1855" t="s">
        <v>3224</v>
      </c>
      <c r="F408" s="1855" t="s">
        <v>2486</v>
      </c>
      <c r="G408" s="1855" t="s">
        <v>22</v>
      </c>
      <c r="H408" s="1855" t="s">
        <v>22</v>
      </c>
      <c r="I408" s="1855" t="s">
        <v>899</v>
      </c>
    </row>
    <row customHeight="1" ht="11.25">
      <c r="A409" s="1855" t="s">
        <v>2391</v>
      </c>
      <c r="B409" s="1855" t="s">
        <v>16</v>
      </c>
      <c r="C409" s="1855" t="s">
        <v>3225</v>
      </c>
      <c r="D409" s="1855" t="s">
        <v>3226</v>
      </c>
      <c r="E409" s="1855" t="s">
        <v>3227</v>
      </c>
      <c r="F409" s="1855" t="s">
        <v>2427</v>
      </c>
      <c r="G409" s="1855" t="s">
        <v>22</v>
      </c>
      <c r="H409" s="1855" t="s">
        <v>22</v>
      </c>
      <c r="I409" s="1855" t="s">
        <v>899</v>
      </c>
    </row>
    <row customHeight="1" ht="11.25">
      <c r="A410" s="1855" t="s">
        <v>2391</v>
      </c>
      <c r="B410" s="1855" t="s">
        <v>16</v>
      </c>
      <c r="C410" s="1855" t="s">
        <v>22</v>
      </c>
      <c r="D410" s="1855" t="s">
        <v>2996</v>
      </c>
      <c r="E410" s="1855" t="s">
        <v>2997</v>
      </c>
      <c r="F410" s="1855" t="s">
        <v>2399</v>
      </c>
      <c r="G410" s="1855" t="s">
        <v>22</v>
      </c>
      <c r="H410" s="1855" t="s">
        <v>22</v>
      </c>
      <c r="I410" s="1855" t="s">
        <v>899</v>
      </c>
    </row>
    <row customHeight="1" ht="11.25">
      <c r="A411" s="1855" t="s">
        <v>2391</v>
      </c>
      <c r="B411" s="1855" t="s">
        <v>16</v>
      </c>
      <c r="C411" s="1855" t="s">
        <v>2998</v>
      </c>
      <c r="D411" s="1855" t="s">
        <v>2999</v>
      </c>
      <c r="E411" s="1855" t="s">
        <v>3000</v>
      </c>
      <c r="F411" s="1855" t="s">
        <v>3001</v>
      </c>
      <c r="G411" s="1855" t="s">
        <v>22</v>
      </c>
      <c r="H411" s="1855" t="s">
        <v>22</v>
      </c>
      <c r="I411" s="1855" t="s">
        <v>899</v>
      </c>
    </row>
    <row customHeight="1" ht="11.25">
      <c r="A412" s="1855" t="s">
        <v>2391</v>
      </c>
      <c r="B412" s="1855" t="s">
        <v>16</v>
      </c>
      <c r="C412" s="1855" t="s">
        <v>3002</v>
      </c>
      <c r="D412" s="1855" t="s">
        <v>3003</v>
      </c>
      <c r="E412" s="1855" t="s">
        <v>3000</v>
      </c>
      <c r="F412" s="1855" t="s">
        <v>3004</v>
      </c>
      <c r="G412" s="1855" t="s">
        <v>3005</v>
      </c>
      <c r="H412" s="1855" t="s">
        <v>22</v>
      </c>
      <c r="I412" s="1855" t="s">
        <v>899</v>
      </c>
    </row>
    <row customHeight="1" ht="11.25">
      <c r="A413" s="1855" t="s">
        <v>2391</v>
      </c>
      <c r="B413" s="1855" t="s">
        <v>16</v>
      </c>
      <c r="C413" s="1855" t="s">
        <v>3006</v>
      </c>
      <c r="D413" s="1855" t="s">
        <v>3007</v>
      </c>
      <c r="E413" s="1855" t="s">
        <v>3008</v>
      </c>
      <c r="F413" s="1855" t="s">
        <v>2403</v>
      </c>
      <c r="G413" s="1855" t="s">
        <v>22</v>
      </c>
      <c r="H413" s="1855" t="s">
        <v>22</v>
      </c>
      <c r="I413" s="1855" t="s">
        <v>899</v>
      </c>
    </row>
    <row customHeight="1" ht="11.25">
      <c r="A414" s="1855" t="s">
        <v>2391</v>
      </c>
      <c r="B414" s="1855" t="s">
        <v>16</v>
      </c>
      <c r="C414" s="1855" t="s">
        <v>3011</v>
      </c>
      <c r="D414" s="1855" t="s">
        <v>3012</v>
      </c>
      <c r="E414" s="1855" t="s">
        <v>3013</v>
      </c>
      <c r="F414" s="1855" t="s">
        <v>3014</v>
      </c>
      <c r="G414" s="1855" t="s">
        <v>22</v>
      </c>
      <c r="H414" s="1855" t="s">
        <v>22</v>
      </c>
      <c r="I414" s="1855" t="s">
        <v>899</v>
      </c>
    </row>
    <row customHeight="1" ht="11.25">
      <c r="A415" s="1855" t="s">
        <v>2391</v>
      </c>
      <c r="B415" s="1855" t="s">
        <v>16</v>
      </c>
      <c r="C415" s="1855" t="s">
        <v>3022</v>
      </c>
      <c r="D415" s="1855" t="s">
        <v>3023</v>
      </c>
      <c r="E415" s="1855" t="s">
        <v>3024</v>
      </c>
      <c r="F415" s="1855" t="s">
        <v>2415</v>
      </c>
      <c r="G415" s="1855" t="s">
        <v>22</v>
      </c>
      <c r="H415" s="1855" t="s">
        <v>22</v>
      </c>
      <c r="I415" s="1855" t="s">
        <v>899</v>
      </c>
    </row>
    <row customHeight="1" ht="11.25">
      <c r="A416" s="1855" t="s">
        <v>2391</v>
      </c>
      <c r="B416" s="1855" t="s">
        <v>16</v>
      </c>
      <c r="C416" s="1855" t="s">
        <v>2392</v>
      </c>
      <c r="D416" s="1855" t="s">
        <v>2393</v>
      </c>
      <c r="E416" s="1855" t="s">
        <v>2394</v>
      </c>
      <c r="F416" s="1855" t="s">
        <v>2395</v>
      </c>
      <c r="G416" s="1855" t="s">
        <v>22</v>
      </c>
      <c r="H416" s="1855" t="s">
        <v>22</v>
      </c>
      <c r="I416" s="1855" t="s">
        <v>952</v>
      </c>
    </row>
    <row customHeight="1" ht="11.25">
      <c r="A417" s="1855" t="s">
        <v>2391</v>
      </c>
      <c r="B417" s="1855" t="s">
        <v>16</v>
      </c>
      <c r="C417" s="1855" t="s">
        <v>2396</v>
      </c>
      <c r="D417" s="1855" t="s">
        <v>2397</v>
      </c>
      <c r="E417" s="1855" t="s">
        <v>2398</v>
      </c>
      <c r="F417" s="1855" t="s">
        <v>2399</v>
      </c>
      <c r="G417" s="1855" t="s">
        <v>22</v>
      </c>
      <c r="H417" s="1855" t="s">
        <v>22</v>
      </c>
      <c r="I417" s="1855" t="s">
        <v>952</v>
      </c>
    </row>
    <row customHeight="1" ht="11.25">
      <c r="A418" s="1855" t="s">
        <v>2391</v>
      </c>
      <c r="B418" s="1855" t="s">
        <v>16</v>
      </c>
      <c r="C418" s="1855" t="s">
        <v>2413</v>
      </c>
      <c r="D418" s="1855" t="s">
        <v>2414</v>
      </c>
      <c r="E418" s="1855" t="s">
        <v>48</v>
      </c>
      <c r="F418" s="1855" t="s">
        <v>2415</v>
      </c>
      <c r="G418" s="1855" t="s">
        <v>22</v>
      </c>
      <c r="H418" s="1855" t="s">
        <v>22</v>
      </c>
      <c r="I418" s="1855" t="s">
        <v>952</v>
      </c>
    </row>
    <row customHeight="1" ht="11.25">
      <c r="A419" s="1855" t="s">
        <v>2391</v>
      </c>
      <c r="B419" s="1855" t="s">
        <v>16</v>
      </c>
      <c r="C419" s="1855" t="s">
        <v>2416</v>
      </c>
      <c r="D419" s="1855" t="s">
        <v>2417</v>
      </c>
      <c r="E419" s="1855" t="s">
        <v>2418</v>
      </c>
      <c r="F419" s="1855" t="s">
        <v>2419</v>
      </c>
      <c r="G419" s="1855" t="s">
        <v>22</v>
      </c>
      <c r="H419" s="1855" t="s">
        <v>22</v>
      </c>
      <c r="I419" s="1855" t="s">
        <v>952</v>
      </c>
    </row>
    <row customHeight="1" ht="11.25">
      <c r="A420" s="1855" t="s">
        <v>2391</v>
      </c>
      <c r="B420" s="1855" t="s">
        <v>16</v>
      </c>
      <c r="C420" s="1855" t="s">
        <v>2420</v>
      </c>
      <c r="D420" s="1855" t="s">
        <v>2421</v>
      </c>
      <c r="E420" s="1855" t="s">
        <v>2422</v>
      </c>
      <c r="F420" s="1855" t="s">
        <v>2423</v>
      </c>
      <c r="G420" s="1855" t="s">
        <v>22</v>
      </c>
      <c r="H420" s="1855" t="s">
        <v>22</v>
      </c>
      <c r="I420" s="1855" t="s">
        <v>952</v>
      </c>
    </row>
    <row customHeight="1" ht="11.25">
      <c r="A421" s="1855" t="s">
        <v>2391</v>
      </c>
      <c r="B421" s="1855" t="s">
        <v>16</v>
      </c>
      <c r="C421" s="1855" t="s">
        <v>2448</v>
      </c>
      <c r="D421" s="1855" t="s">
        <v>2449</v>
      </c>
      <c r="E421" s="1855" t="s">
        <v>2450</v>
      </c>
      <c r="F421" s="1855" t="s">
        <v>2399</v>
      </c>
      <c r="G421" s="1855" t="s">
        <v>22</v>
      </c>
      <c r="H421" s="1855" t="s">
        <v>22</v>
      </c>
      <c r="I421" s="1855" t="s">
        <v>952</v>
      </c>
    </row>
    <row customHeight="1" ht="11.25">
      <c r="A422" s="1855" t="s">
        <v>2391</v>
      </c>
      <c r="B422" s="1855" t="s">
        <v>16</v>
      </c>
      <c r="C422" s="1855" t="s">
        <v>3228</v>
      </c>
      <c r="D422" s="1855" t="s">
        <v>3229</v>
      </c>
      <c r="E422" s="1855" t="s">
        <v>3230</v>
      </c>
      <c r="F422" s="1855" t="s">
        <v>2399</v>
      </c>
      <c r="G422" s="1855" t="s">
        <v>22</v>
      </c>
      <c r="H422" s="1855" t="s">
        <v>22</v>
      </c>
      <c r="I422" s="1855" t="s">
        <v>952</v>
      </c>
    </row>
    <row customHeight="1" ht="11.25">
      <c r="A423" s="1855" t="s">
        <v>2391</v>
      </c>
      <c r="B423" s="1855" t="s">
        <v>16</v>
      </c>
      <c r="C423" s="1855" t="s">
        <v>2454</v>
      </c>
      <c r="D423" s="1855" t="s">
        <v>2455</v>
      </c>
      <c r="E423" s="1855" t="s">
        <v>2456</v>
      </c>
      <c r="F423" s="1855" t="s">
        <v>2423</v>
      </c>
      <c r="G423" s="1855" t="s">
        <v>22</v>
      </c>
      <c r="H423" s="1855" t="s">
        <v>22</v>
      </c>
      <c r="I423" s="1855" t="s">
        <v>952</v>
      </c>
    </row>
    <row customHeight="1" ht="11.25">
      <c r="A424" s="1855" t="s">
        <v>2391</v>
      </c>
      <c r="B424" s="1855" t="s">
        <v>16</v>
      </c>
      <c r="C424" s="1855" t="s">
        <v>2460</v>
      </c>
      <c r="D424" s="1855" t="s">
        <v>2461</v>
      </c>
      <c r="E424" s="1855" t="s">
        <v>2456</v>
      </c>
      <c r="F424" s="1855" t="s">
        <v>2462</v>
      </c>
      <c r="G424" s="1855" t="s">
        <v>22</v>
      </c>
      <c r="H424" s="1855" t="s">
        <v>22</v>
      </c>
      <c r="I424" s="1855" t="s">
        <v>952</v>
      </c>
    </row>
    <row customHeight="1" ht="11.25">
      <c r="A425" s="1855" t="s">
        <v>2391</v>
      </c>
      <c r="B425" s="1855" t="s">
        <v>16</v>
      </c>
      <c r="C425" s="1855" t="s">
        <v>3038</v>
      </c>
      <c r="D425" s="1855" t="s">
        <v>3039</v>
      </c>
      <c r="E425" s="1855" t="s">
        <v>3040</v>
      </c>
      <c r="F425" s="1855" t="s">
        <v>592</v>
      </c>
      <c r="G425" s="1855" t="s">
        <v>22</v>
      </c>
      <c r="H425" s="1855" t="s">
        <v>22</v>
      </c>
      <c r="I425" s="1855" t="s">
        <v>952</v>
      </c>
    </row>
    <row customHeight="1" ht="11.25">
      <c r="A426" s="1855" t="s">
        <v>2391</v>
      </c>
      <c r="B426" s="1855" t="s">
        <v>16</v>
      </c>
      <c r="C426" s="1855" t="s">
        <v>3041</v>
      </c>
      <c r="D426" s="1855" t="s">
        <v>3042</v>
      </c>
      <c r="E426" s="1855" t="s">
        <v>3043</v>
      </c>
      <c r="F426" s="1855" t="s">
        <v>2403</v>
      </c>
      <c r="G426" s="1855" t="s">
        <v>22</v>
      </c>
      <c r="H426" s="1855" t="s">
        <v>22</v>
      </c>
      <c r="I426" s="1855" t="s">
        <v>952</v>
      </c>
    </row>
    <row customHeight="1" ht="11.25">
      <c r="A427" s="1855" t="s">
        <v>2391</v>
      </c>
      <c r="B427" s="1855" t="s">
        <v>16</v>
      </c>
      <c r="C427" s="1855" t="s">
        <v>2476</v>
      </c>
      <c r="D427" s="1855" t="s">
        <v>2477</v>
      </c>
      <c r="E427" s="1855" t="s">
        <v>2478</v>
      </c>
      <c r="F427" s="1855" t="s">
        <v>2427</v>
      </c>
      <c r="G427" s="1855" t="s">
        <v>22</v>
      </c>
      <c r="H427" s="1855" t="s">
        <v>22</v>
      </c>
      <c r="I427" s="1855" t="s">
        <v>952</v>
      </c>
    </row>
    <row customHeight="1" ht="11.25">
      <c r="A428" s="1855" t="s">
        <v>2391</v>
      </c>
      <c r="B428" s="1855" t="s">
        <v>16</v>
      </c>
      <c r="C428" s="1855" t="s">
        <v>3047</v>
      </c>
      <c r="D428" s="1855" t="s">
        <v>3048</v>
      </c>
      <c r="E428" s="1855" t="s">
        <v>3049</v>
      </c>
      <c r="F428" s="1855" t="s">
        <v>2482</v>
      </c>
      <c r="G428" s="1855" t="s">
        <v>22</v>
      </c>
      <c r="H428" s="1855" t="s">
        <v>22</v>
      </c>
      <c r="I428" s="1855" t="s">
        <v>952</v>
      </c>
    </row>
    <row customHeight="1" ht="11.25">
      <c r="A429" s="1855" t="s">
        <v>2391</v>
      </c>
      <c r="B429" s="1855" t="s">
        <v>16</v>
      </c>
      <c r="C429" s="1855" t="s">
        <v>3053</v>
      </c>
      <c r="D429" s="1855" t="s">
        <v>3054</v>
      </c>
      <c r="E429" s="1855" t="s">
        <v>3055</v>
      </c>
      <c r="F429" s="1855" t="s">
        <v>2529</v>
      </c>
      <c r="G429" s="1855" t="s">
        <v>3056</v>
      </c>
      <c r="H429" s="1855" t="s">
        <v>22</v>
      </c>
      <c r="I429" s="1855" t="s">
        <v>952</v>
      </c>
    </row>
    <row customHeight="1" ht="11.25">
      <c r="A430" s="1855" t="s">
        <v>2391</v>
      </c>
      <c r="B430" s="1855" t="s">
        <v>16</v>
      </c>
      <c r="C430" s="1855" t="s">
        <v>3057</v>
      </c>
      <c r="D430" s="1855" t="s">
        <v>3058</v>
      </c>
      <c r="E430" s="1855" t="s">
        <v>3059</v>
      </c>
      <c r="F430" s="1855" t="s">
        <v>2475</v>
      </c>
      <c r="G430" s="1855" t="s">
        <v>22</v>
      </c>
      <c r="H430" s="1855" t="s">
        <v>22</v>
      </c>
      <c r="I430" s="1855" t="s">
        <v>952</v>
      </c>
    </row>
    <row customHeight="1" ht="11.25">
      <c r="A431" s="1855" t="s">
        <v>2391</v>
      </c>
      <c r="B431" s="1855" t="s">
        <v>16</v>
      </c>
      <c r="C431" s="1855" t="s">
        <v>2490</v>
      </c>
      <c r="D431" s="1855" t="s">
        <v>2491</v>
      </c>
      <c r="E431" s="1855" t="s">
        <v>2492</v>
      </c>
      <c r="F431" s="1855" t="s">
        <v>2493</v>
      </c>
      <c r="G431" s="1855" t="s">
        <v>22</v>
      </c>
      <c r="H431" s="1855" t="s">
        <v>22</v>
      </c>
      <c r="I431" s="1855" t="s">
        <v>952</v>
      </c>
    </row>
    <row customHeight="1" ht="11.25">
      <c r="A432" s="1855" t="s">
        <v>2391</v>
      </c>
      <c r="B432" s="1855" t="s">
        <v>16</v>
      </c>
      <c r="C432" s="1855" t="s">
        <v>2494</v>
      </c>
      <c r="D432" s="1855" t="s">
        <v>2495</v>
      </c>
      <c r="E432" s="1855" t="s">
        <v>2496</v>
      </c>
      <c r="F432" s="1855" t="s">
        <v>2497</v>
      </c>
      <c r="G432" s="1855" t="s">
        <v>22</v>
      </c>
      <c r="H432" s="1855" t="s">
        <v>22</v>
      </c>
      <c r="I432" s="1855" t="s">
        <v>952</v>
      </c>
    </row>
    <row customHeight="1" ht="11.25">
      <c r="A433" s="1855" t="s">
        <v>2391</v>
      </c>
      <c r="B433" s="1855" t="s">
        <v>16</v>
      </c>
      <c r="C433" s="1855" t="s">
        <v>2498</v>
      </c>
      <c r="D433" s="1855" t="s">
        <v>2499</v>
      </c>
      <c r="E433" s="1855" t="s">
        <v>2500</v>
      </c>
      <c r="F433" s="1855" t="s">
        <v>2447</v>
      </c>
      <c r="G433" s="1855" t="s">
        <v>22</v>
      </c>
      <c r="H433" s="1855" t="s">
        <v>22</v>
      </c>
      <c r="I433" s="1855" t="s">
        <v>952</v>
      </c>
    </row>
    <row customHeight="1" ht="11.25">
      <c r="A434" s="1855" t="s">
        <v>2391</v>
      </c>
      <c r="B434" s="1855" t="s">
        <v>16</v>
      </c>
      <c r="C434" s="1855" t="s">
        <v>3078</v>
      </c>
      <c r="D434" s="1855" t="s">
        <v>3079</v>
      </c>
      <c r="E434" s="1855" t="s">
        <v>3080</v>
      </c>
      <c r="F434" s="1855" t="s">
        <v>2493</v>
      </c>
      <c r="G434" s="1855" t="s">
        <v>22</v>
      </c>
      <c r="H434" s="1855" t="s">
        <v>22</v>
      </c>
      <c r="I434" s="1855" t="s">
        <v>952</v>
      </c>
    </row>
    <row customHeight="1" ht="11.25">
      <c r="A435" s="1855" t="s">
        <v>2391</v>
      </c>
      <c r="B435" s="1855" t="s">
        <v>16</v>
      </c>
      <c r="C435" s="1855" t="s">
        <v>3084</v>
      </c>
      <c r="D435" s="1855" t="s">
        <v>3085</v>
      </c>
      <c r="E435" s="1855" t="s">
        <v>3086</v>
      </c>
      <c r="F435" s="1855" t="s">
        <v>2447</v>
      </c>
      <c r="G435" s="1855" t="s">
        <v>22</v>
      </c>
      <c r="H435" s="1855" t="s">
        <v>22</v>
      </c>
      <c r="I435" s="1855" t="s">
        <v>952</v>
      </c>
    </row>
    <row customHeight="1" ht="11.25">
      <c r="A436" s="1855" t="s">
        <v>2391</v>
      </c>
      <c r="B436" s="1855" t="s">
        <v>16</v>
      </c>
      <c r="C436" s="1855" t="s">
        <v>3087</v>
      </c>
      <c r="D436" s="1855" t="s">
        <v>3088</v>
      </c>
      <c r="E436" s="1855" t="s">
        <v>3089</v>
      </c>
      <c r="F436" s="1855" t="s">
        <v>2529</v>
      </c>
      <c r="G436" s="1855" t="s">
        <v>22</v>
      </c>
      <c r="H436" s="1855" t="s">
        <v>22</v>
      </c>
      <c r="I436" s="1855" t="s">
        <v>952</v>
      </c>
    </row>
    <row customHeight="1" ht="11.25">
      <c r="A437" s="1855" t="s">
        <v>2391</v>
      </c>
      <c r="B437" s="1855" t="s">
        <v>16</v>
      </c>
      <c r="C437" s="1855" t="s">
        <v>2511</v>
      </c>
      <c r="D437" s="1855" t="s">
        <v>2512</v>
      </c>
      <c r="E437" s="1855" t="s">
        <v>2513</v>
      </c>
      <c r="F437" s="1855" t="s">
        <v>2510</v>
      </c>
      <c r="G437" s="1855" t="s">
        <v>22</v>
      </c>
      <c r="H437" s="1855" t="s">
        <v>22</v>
      </c>
      <c r="I437" s="1855" t="s">
        <v>952</v>
      </c>
    </row>
    <row customHeight="1" ht="11.25">
      <c r="A438" s="1855" t="s">
        <v>2391</v>
      </c>
      <c r="B438" s="1855" t="s">
        <v>16</v>
      </c>
      <c r="C438" s="1855" t="s">
        <v>2518</v>
      </c>
      <c r="D438" s="1855" t="s">
        <v>2519</v>
      </c>
      <c r="E438" s="1855" t="s">
        <v>2520</v>
      </c>
      <c r="F438" s="1855" t="s">
        <v>2447</v>
      </c>
      <c r="G438" s="1855" t="s">
        <v>2521</v>
      </c>
      <c r="H438" s="1855" t="s">
        <v>22</v>
      </c>
      <c r="I438" s="1855" t="s">
        <v>952</v>
      </c>
    </row>
    <row customHeight="1" ht="11.25">
      <c r="A439" s="1855" t="s">
        <v>2391</v>
      </c>
      <c r="B439" s="1855" t="s">
        <v>16</v>
      </c>
      <c r="C439" s="1855" t="s">
        <v>3090</v>
      </c>
      <c r="D439" s="1855" t="s">
        <v>3091</v>
      </c>
      <c r="E439" s="1855" t="s">
        <v>3092</v>
      </c>
      <c r="F439" s="1855" t="s">
        <v>2667</v>
      </c>
      <c r="G439" s="1855" t="s">
        <v>22</v>
      </c>
      <c r="H439" s="1855" t="s">
        <v>22</v>
      </c>
      <c r="I439" s="1855" t="s">
        <v>952</v>
      </c>
    </row>
    <row customHeight="1" ht="11.25">
      <c r="A440" s="1855" t="s">
        <v>2391</v>
      </c>
      <c r="B440" s="1855" t="s">
        <v>16</v>
      </c>
      <c r="C440" s="1855" t="s">
        <v>3093</v>
      </c>
      <c r="D440" s="1855" t="s">
        <v>3094</v>
      </c>
      <c r="E440" s="1855" t="s">
        <v>3095</v>
      </c>
      <c r="F440" s="1855" t="s">
        <v>2660</v>
      </c>
      <c r="G440" s="1855" t="s">
        <v>22</v>
      </c>
      <c r="H440" s="1855" t="s">
        <v>22</v>
      </c>
      <c r="I440" s="1855" t="s">
        <v>952</v>
      </c>
    </row>
    <row customHeight="1" ht="11.25">
      <c r="A441" s="1855" t="s">
        <v>2391</v>
      </c>
      <c r="B441" s="1855" t="s">
        <v>16</v>
      </c>
      <c r="C441" s="1855" t="s">
        <v>2522</v>
      </c>
      <c r="D441" s="1855" t="s">
        <v>2523</v>
      </c>
      <c r="E441" s="1855" t="s">
        <v>2524</v>
      </c>
      <c r="F441" s="1855" t="s">
        <v>2525</v>
      </c>
      <c r="G441" s="1855" t="s">
        <v>22</v>
      </c>
      <c r="H441" s="1855" t="s">
        <v>22</v>
      </c>
      <c r="I441" s="1855" t="s">
        <v>952</v>
      </c>
    </row>
    <row customHeight="1" ht="11.25">
      <c r="A442" s="1855" t="s">
        <v>2391</v>
      </c>
      <c r="B442" s="1855" t="s">
        <v>16</v>
      </c>
      <c r="C442" s="1855" t="s">
        <v>2526</v>
      </c>
      <c r="D442" s="1855" t="s">
        <v>2527</v>
      </c>
      <c r="E442" s="1855" t="s">
        <v>2528</v>
      </c>
      <c r="F442" s="1855" t="s">
        <v>2529</v>
      </c>
      <c r="G442" s="1855" t="s">
        <v>22</v>
      </c>
      <c r="H442" s="1855" t="s">
        <v>22</v>
      </c>
      <c r="I442" s="1855" t="s">
        <v>952</v>
      </c>
    </row>
    <row customHeight="1" ht="11.25">
      <c r="A443" s="1855" t="s">
        <v>2391</v>
      </c>
      <c r="B443" s="1855" t="s">
        <v>16</v>
      </c>
      <c r="C443" s="1855" t="s">
        <v>2530</v>
      </c>
      <c r="D443" s="1855" t="s">
        <v>2531</v>
      </c>
      <c r="E443" s="1855" t="s">
        <v>2532</v>
      </c>
      <c r="F443" s="1855" t="s">
        <v>2529</v>
      </c>
      <c r="G443" s="1855" t="s">
        <v>22</v>
      </c>
      <c r="H443" s="1855" t="s">
        <v>22</v>
      </c>
      <c r="I443" s="1855" t="s">
        <v>952</v>
      </c>
    </row>
    <row customHeight="1" ht="11.25">
      <c r="A444" s="1855" t="s">
        <v>2391</v>
      </c>
      <c r="B444" s="1855" t="s">
        <v>16</v>
      </c>
      <c r="C444" s="1855" t="s">
        <v>2533</v>
      </c>
      <c r="D444" s="1855" t="s">
        <v>2534</v>
      </c>
      <c r="E444" s="1855" t="s">
        <v>2535</v>
      </c>
      <c r="F444" s="1855" t="s">
        <v>2427</v>
      </c>
      <c r="G444" s="1855" t="s">
        <v>22</v>
      </c>
      <c r="H444" s="1855" t="s">
        <v>2536</v>
      </c>
      <c r="I444" s="1855" t="s">
        <v>952</v>
      </c>
    </row>
    <row customHeight="1" ht="11.25">
      <c r="A445" s="1855" t="s">
        <v>2391</v>
      </c>
      <c r="B445" s="1855" t="s">
        <v>16</v>
      </c>
      <c r="C445" s="1855" t="s">
        <v>3231</v>
      </c>
      <c r="D445" s="1855" t="s">
        <v>3232</v>
      </c>
      <c r="E445" s="1855" t="s">
        <v>3233</v>
      </c>
      <c r="F445" s="1855" t="s">
        <v>2399</v>
      </c>
      <c r="G445" s="1855" t="s">
        <v>22</v>
      </c>
      <c r="H445" s="1855" t="s">
        <v>22</v>
      </c>
      <c r="I445" s="1855" t="s">
        <v>952</v>
      </c>
    </row>
    <row customHeight="1" ht="11.25">
      <c r="A446" s="1855" t="s">
        <v>2391</v>
      </c>
      <c r="B446" s="1855" t="s">
        <v>16</v>
      </c>
      <c r="C446" s="1855" t="s">
        <v>2548</v>
      </c>
      <c r="D446" s="1855" t="s">
        <v>2549</v>
      </c>
      <c r="E446" s="1855" t="s">
        <v>2550</v>
      </c>
      <c r="F446" s="1855" t="s">
        <v>2525</v>
      </c>
      <c r="G446" s="1855" t="s">
        <v>22</v>
      </c>
      <c r="H446" s="1855" t="s">
        <v>22</v>
      </c>
      <c r="I446" s="1855" t="s">
        <v>952</v>
      </c>
    </row>
    <row customHeight="1" ht="11.25">
      <c r="A447" s="1855" t="s">
        <v>2391</v>
      </c>
      <c r="B447" s="1855" t="s">
        <v>16</v>
      </c>
      <c r="C447" s="1855" t="s">
        <v>3096</v>
      </c>
      <c r="D447" s="1855" t="s">
        <v>3097</v>
      </c>
      <c r="E447" s="1855" t="s">
        <v>3098</v>
      </c>
      <c r="F447" s="1855" t="s">
        <v>2623</v>
      </c>
      <c r="G447" s="1855" t="s">
        <v>22</v>
      </c>
      <c r="H447" s="1855" t="s">
        <v>22</v>
      </c>
      <c r="I447" s="1855" t="s">
        <v>952</v>
      </c>
    </row>
    <row customHeight="1" ht="11.25">
      <c r="A448" s="1855" t="s">
        <v>2391</v>
      </c>
      <c r="B448" s="1855" t="s">
        <v>16</v>
      </c>
      <c r="C448" s="1855" t="s">
        <v>3099</v>
      </c>
      <c r="D448" s="1855" t="s">
        <v>3100</v>
      </c>
      <c r="E448" s="1855" t="s">
        <v>3101</v>
      </c>
      <c r="F448" s="1855" t="s">
        <v>2486</v>
      </c>
      <c r="G448" s="1855" t="s">
        <v>22</v>
      </c>
      <c r="H448" s="1855" t="s">
        <v>22</v>
      </c>
      <c r="I448" s="1855" t="s">
        <v>952</v>
      </c>
    </row>
    <row customHeight="1" ht="11.25">
      <c r="A449" s="1855" t="s">
        <v>2391</v>
      </c>
      <c r="B449" s="1855" t="s">
        <v>16</v>
      </c>
      <c r="C449" s="1855" t="s">
        <v>3105</v>
      </c>
      <c r="D449" s="1855" t="s">
        <v>3106</v>
      </c>
      <c r="E449" s="1855" t="s">
        <v>3107</v>
      </c>
      <c r="F449" s="1855" t="s">
        <v>2525</v>
      </c>
      <c r="G449" s="1855" t="s">
        <v>22</v>
      </c>
      <c r="H449" s="1855" t="s">
        <v>22</v>
      </c>
      <c r="I449" s="1855" t="s">
        <v>952</v>
      </c>
    </row>
    <row customHeight="1" ht="11.25">
      <c r="A450" s="1855" t="s">
        <v>2391</v>
      </c>
      <c r="B450" s="1855" t="s">
        <v>16</v>
      </c>
      <c r="C450" s="1855" t="s">
        <v>3108</v>
      </c>
      <c r="D450" s="1855" t="s">
        <v>3109</v>
      </c>
      <c r="E450" s="1855" t="s">
        <v>3110</v>
      </c>
      <c r="F450" s="1855" t="s">
        <v>2493</v>
      </c>
      <c r="G450" s="1855" t="s">
        <v>22</v>
      </c>
      <c r="H450" s="1855" t="s">
        <v>22</v>
      </c>
      <c r="I450" s="1855" t="s">
        <v>952</v>
      </c>
    </row>
    <row customHeight="1" ht="11.25">
      <c r="A451" s="1855" t="s">
        <v>2391</v>
      </c>
      <c r="B451" s="1855" t="s">
        <v>16</v>
      </c>
      <c r="C451" s="1855" t="s">
        <v>2578</v>
      </c>
      <c r="D451" s="1855" t="s">
        <v>2579</v>
      </c>
      <c r="E451" s="1855" t="s">
        <v>2580</v>
      </c>
      <c r="F451" s="1855" t="s">
        <v>2399</v>
      </c>
      <c r="G451" s="1855" t="s">
        <v>22</v>
      </c>
      <c r="H451" s="1855" t="s">
        <v>22</v>
      </c>
      <c r="I451" s="1855" t="s">
        <v>952</v>
      </c>
    </row>
    <row customHeight="1" ht="11.25">
      <c r="A452" s="1855" t="s">
        <v>2391</v>
      </c>
      <c r="B452" s="1855" t="s">
        <v>16</v>
      </c>
      <c r="C452" s="1855" t="s">
        <v>2581</v>
      </c>
      <c r="D452" s="1855" t="s">
        <v>2582</v>
      </c>
      <c r="E452" s="1855" t="s">
        <v>2583</v>
      </c>
      <c r="F452" s="1855" t="s">
        <v>2399</v>
      </c>
      <c r="G452" s="1855" t="s">
        <v>22</v>
      </c>
      <c r="H452" s="1855" t="s">
        <v>22</v>
      </c>
      <c r="I452" s="1855" t="s">
        <v>952</v>
      </c>
    </row>
    <row customHeight="1" ht="11.25">
      <c r="A453" s="1855" t="s">
        <v>2391</v>
      </c>
      <c r="B453" s="1855" t="s">
        <v>16</v>
      </c>
      <c r="C453" s="1855" t="s">
        <v>2584</v>
      </c>
      <c r="D453" s="1855" t="s">
        <v>2585</v>
      </c>
      <c r="E453" s="1855" t="s">
        <v>2586</v>
      </c>
      <c r="F453" s="1855" t="s">
        <v>2399</v>
      </c>
      <c r="G453" s="1855" t="s">
        <v>22</v>
      </c>
      <c r="H453" s="1855" t="s">
        <v>22</v>
      </c>
      <c r="I453" s="1855" t="s">
        <v>952</v>
      </c>
    </row>
    <row customHeight="1" ht="11.25">
      <c r="A454" s="1855" t="s">
        <v>2391</v>
      </c>
      <c r="B454" s="1855" t="s">
        <v>16</v>
      </c>
      <c r="C454" s="1855" t="s">
        <v>2613</v>
      </c>
      <c r="D454" s="1855" t="s">
        <v>2614</v>
      </c>
      <c r="E454" s="1855" t="s">
        <v>2615</v>
      </c>
      <c r="F454" s="1855" t="s">
        <v>2517</v>
      </c>
      <c r="G454" s="1855" t="s">
        <v>22</v>
      </c>
      <c r="H454" s="1855" t="s">
        <v>22</v>
      </c>
      <c r="I454" s="1855" t="s">
        <v>952</v>
      </c>
    </row>
    <row customHeight="1" ht="11.25">
      <c r="A455" s="1855" t="s">
        <v>2391</v>
      </c>
      <c r="B455" s="1855" t="s">
        <v>16</v>
      </c>
      <c r="C455" s="1855" t="s">
        <v>2625</v>
      </c>
      <c r="D455" s="1855" t="s">
        <v>2626</v>
      </c>
      <c r="E455" s="1855" t="s">
        <v>2627</v>
      </c>
      <c r="F455" s="1855" t="s">
        <v>2623</v>
      </c>
      <c r="G455" s="1855" t="s">
        <v>22</v>
      </c>
      <c r="H455" s="1855" t="s">
        <v>22</v>
      </c>
      <c r="I455" s="1855" t="s">
        <v>952</v>
      </c>
    </row>
    <row customHeight="1" ht="11.25">
      <c r="A456" s="1855" t="s">
        <v>2391</v>
      </c>
      <c r="B456" s="1855" t="s">
        <v>16</v>
      </c>
      <c r="C456" s="1855" t="s">
        <v>3029</v>
      </c>
      <c r="D456" s="1855" t="s">
        <v>3030</v>
      </c>
      <c r="E456" s="1855" t="s">
        <v>3031</v>
      </c>
      <c r="F456" s="1855" t="s">
        <v>2623</v>
      </c>
      <c r="G456" s="1855" t="s">
        <v>22</v>
      </c>
      <c r="H456" s="1855" t="s">
        <v>22</v>
      </c>
      <c r="I456" s="1855" t="s">
        <v>952</v>
      </c>
    </row>
    <row customHeight="1" ht="11.25">
      <c r="A457" s="1855" t="s">
        <v>2391</v>
      </c>
      <c r="B457" s="1855" t="s">
        <v>16</v>
      </c>
      <c r="C457" s="1855" t="s">
        <v>2634</v>
      </c>
      <c r="D457" s="1855" t="s">
        <v>2635</v>
      </c>
      <c r="E457" s="1855" t="s">
        <v>2636</v>
      </c>
      <c r="F457" s="1855" t="s">
        <v>2427</v>
      </c>
      <c r="G457" s="1855" t="s">
        <v>22</v>
      </c>
      <c r="H457" s="1855" t="s">
        <v>22</v>
      </c>
      <c r="I457" s="1855" t="s">
        <v>952</v>
      </c>
    </row>
    <row customHeight="1" ht="11.25">
      <c r="A458" s="1855" t="s">
        <v>2391</v>
      </c>
      <c r="B458" s="1855" t="s">
        <v>16</v>
      </c>
      <c r="C458" s="1855" t="s">
        <v>2637</v>
      </c>
      <c r="D458" s="1855" t="s">
        <v>2638</v>
      </c>
      <c r="E458" s="1855" t="s">
        <v>2639</v>
      </c>
      <c r="F458" s="1855" t="s">
        <v>2427</v>
      </c>
      <c r="G458" s="1855" t="s">
        <v>2640</v>
      </c>
      <c r="H458" s="1855" t="s">
        <v>22</v>
      </c>
      <c r="I458" s="1855" t="s">
        <v>952</v>
      </c>
    </row>
    <row customHeight="1" ht="11.25">
      <c r="A459" s="1855" t="s">
        <v>2391</v>
      </c>
      <c r="B459" s="1855" t="s">
        <v>16</v>
      </c>
      <c r="C459" s="1855" t="s">
        <v>3120</v>
      </c>
      <c r="D459" s="1855" t="s">
        <v>3121</v>
      </c>
      <c r="E459" s="1855" t="s">
        <v>3122</v>
      </c>
      <c r="F459" s="1855" t="s">
        <v>2493</v>
      </c>
      <c r="G459" s="1855" t="s">
        <v>22</v>
      </c>
      <c r="H459" s="1855" t="s">
        <v>22</v>
      </c>
      <c r="I459" s="1855" t="s">
        <v>952</v>
      </c>
    </row>
    <row customHeight="1" ht="11.25">
      <c r="A460" s="1855" t="s">
        <v>2391</v>
      </c>
      <c r="B460" s="1855" t="s">
        <v>16</v>
      </c>
      <c r="C460" s="1855" t="s">
        <v>3123</v>
      </c>
      <c r="D460" s="1855" t="s">
        <v>3124</v>
      </c>
      <c r="E460" s="1855" t="s">
        <v>3125</v>
      </c>
      <c r="F460" s="1855" t="s">
        <v>2486</v>
      </c>
      <c r="G460" s="1855" t="s">
        <v>22</v>
      </c>
      <c r="H460" s="1855" t="s">
        <v>22</v>
      </c>
      <c r="I460" s="1855" t="s">
        <v>952</v>
      </c>
    </row>
    <row customHeight="1" ht="11.25">
      <c r="A461" s="1855" t="s">
        <v>2391</v>
      </c>
      <c r="B461" s="1855" t="s">
        <v>16</v>
      </c>
      <c r="C461" s="1855" t="s">
        <v>3126</v>
      </c>
      <c r="D461" s="1855" t="s">
        <v>3124</v>
      </c>
      <c r="E461" s="1855" t="s">
        <v>3127</v>
      </c>
      <c r="F461" s="1855" t="s">
        <v>2427</v>
      </c>
      <c r="G461" s="1855" t="s">
        <v>3128</v>
      </c>
      <c r="H461" s="1855" t="s">
        <v>22</v>
      </c>
      <c r="I461" s="1855" t="s">
        <v>952</v>
      </c>
    </row>
    <row customHeight="1" ht="11.25">
      <c r="A462" s="1855" t="s">
        <v>2391</v>
      </c>
      <c r="B462" s="1855" t="s">
        <v>16</v>
      </c>
      <c r="C462" s="1855" t="s">
        <v>3129</v>
      </c>
      <c r="D462" s="1855" t="s">
        <v>3130</v>
      </c>
      <c r="E462" s="1855" t="s">
        <v>3131</v>
      </c>
      <c r="F462" s="1855" t="s">
        <v>2660</v>
      </c>
      <c r="G462" s="1855" t="s">
        <v>22</v>
      </c>
      <c r="H462" s="1855" t="s">
        <v>22</v>
      </c>
      <c r="I462" s="1855" t="s">
        <v>952</v>
      </c>
    </row>
    <row customHeight="1" ht="11.25">
      <c r="A463" s="1855" t="s">
        <v>2391</v>
      </c>
      <c r="B463" s="1855" t="s">
        <v>16</v>
      </c>
      <c r="C463" s="1855" t="s">
        <v>3135</v>
      </c>
      <c r="D463" s="1855" t="s">
        <v>3136</v>
      </c>
      <c r="E463" s="1855" t="s">
        <v>3137</v>
      </c>
      <c r="F463" s="1855" t="s">
        <v>2475</v>
      </c>
      <c r="G463" s="1855" t="s">
        <v>22</v>
      </c>
      <c r="H463" s="1855" t="s">
        <v>22</v>
      </c>
      <c r="I463" s="1855" t="s">
        <v>952</v>
      </c>
    </row>
    <row customHeight="1" ht="11.25">
      <c r="A464" s="1855" t="s">
        <v>2391</v>
      </c>
      <c r="B464" s="1855" t="s">
        <v>16</v>
      </c>
      <c r="C464" s="1855" t="s">
        <v>3138</v>
      </c>
      <c r="D464" s="1855" t="s">
        <v>3139</v>
      </c>
      <c r="E464" s="1855" t="s">
        <v>3140</v>
      </c>
      <c r="F464" s="1855" t="s">
        <v>2486</v>
      </c>
      <c r="G464" s="1855" t="s">
        <v>22</v>
      </c>
      <c r="H464" s="1855" t="s">
        <v>22</v>
      </c>
      <c r="I464" s="1855" t="s">
        <v>952</v>
      </c>
    </row>
    <row customHeight="1" ht="11.25">
      <c r="A465" s="1855" t="s">
        <v>2391</v>
      </c>
      <c r="B465" s="1855" t="s">
        <v>16</v>
      </c>
      <c r="C465" s="1855" t="s">
        <v>3141</v>
      </c>
      <c r="D465" s="1855" t="s">
        <v>3142</v>
      </c>
      <c r="E465" s="1855" t="s">
        <v>3143</v>
      </c>
      <c r="F465" s="1855" t="s">
        <v>2493</v>
      </c>
      <c r="G465" s="1855" t="s">
        <v>3144</v>
      </c>
      <c r="H465" s="1855" t="s">
        <v>22</v>
      </c>
      <c r="I465" s="1855" t="s">
        <v>952</v>
      </c>
    </row>
    <row customHeight="1" ht="11.25">
      <c r="A466" s="1855" t="s">
        <v>2391</v>
      </c>
      <c r="B466" s="1855" t="s">
        <v>16</v>
      </c>
      <c r="C466" s="1855" t="s">
        <v>3032</v>
      </c>
      <c r="D466" s="1855" t="s">
        <v>3033</v>
      </c>
      <c r="E466" s="1855" t="s">
        <v>3034</v>
      </c>
      <c r="F466" s="1855" t="s">
        <v>2853</v>
      </c>
      <c r="G466" s="1855" t="s">
        <v>22</v>
      </c>
      <c r="H466" s="1855" t="s">
        <v>22</v>
      </c>
      <c r="I466" s="1855" t="s">
        <v>952</v>
      </c>
    </row>
    <row customHeight="1" ht="11.25">
      <c r="A467" s="1855" t="s">
        <v>2391</v>
      </c>
      <c r="B467" s="1855" t="s">
        <v>16</v>
      </c>
      <c r="C467" s="1855" t="s">
        <v>2657</v>
      </c>
      <c r="D467" s="1855" t="s">
        <v>2658</v>
      </c>
      <c r="E467" s="1855" t="s">
        <v>2659</v>
      </c>
      <c r="F467" s="1855" t="s">
        <v>2660</v>
      </c>
      <c r="G467" s="1855" t="s">
        <v>22</v>
      </c>
      <c r="H467" s="1855" t="s">
        <v>22</v>
      </c>
      <c r="I467" s="1855" t="s">
        <v>952</v>
      </c>
    </row>
    <row customHeight="1" ht="11.25">
      <c r="A468" s="1855" t="s">
        <v>2391</v>
      </c>
      <c r="B468" s="1855" t="s">
        <v>16</v>
      </c>
      <c r="C468" s="1855" t="s">
        <v>2671</v>
      </c>
      <c r="D468" s="1855" t="s">
        <v>2672</v>
      </c>
      <c r="E468" s="1855" t="s">
        <v>2673</v>
      </c>
      <c r="F468" s="1855" t="s">
        <v>2399</v>
      </c>
      <c r="G468" s="1855" t="s">
        <v>2674</v>
      </c>
      <c r="H468" s="1855" t="s">
        <v>22</v>
      </c>
      <c r="I468" s="1855" t="s">
        <v>952</v>
      </c>
    </row>
    <row customHeight="1" ht="11.25">
      <c r="A469" s="1855" t="s">
        <v>2391</v>
      </c>
      <c r="B469" s="1855" t="s">
        <v>16</v>
      </c>
      <c r="C469" s="1855" t="s">
        <v>2681</v>
      </c>
      <c r="D469" s="1855" t="s">
        <v>2682</v>
      </c>
      <c r="E469" s="1855" t="s">
        <v>2683</v>
      </c>
      <c r="F469" s="1855" t="s">
        <v>2660</v>
      </c>
      <c r="G469" s="1855" t="s">
        <v>22</v>
      </c>
      <c r="H469" s="1855" t="s">
        <v>22</v>
      </c>
      <c r="I469" s="1855" t="s">
        <v>952</v>
      </c>
    </row>
    <row customHeight="1" ht="11.25">
      <c r="A470" s="1855" t="s">
        <v>2391</v>
      </c>
      <c r="B470" s="1855" t="s">
        <v>16</v>
      </c>
      <c r="C470" s="1855" t="s">
        <v>2684</v>
      </c>
      <c r="D470" s="1855" t="s">
        <v>2685</v>
      </c>
      <c r="E470" s="1855" t="s">
        <v>2686</v>
      </c>
      <c r="F470" s="1855" t="s">
        <v>2423</v>
      </c>
      <c r="G470" s="1855" t="s">
        <v>2687</v>
      </c>
      <c r="H470" s="1855" t="s">
        <v>22</v>
      </c>
      <c r="I470" s="1855" t="s">
        <v>952</v>
      </c>
    </row>
    <row customHeight="1" ht="11.25">
      <c r="A471" s="1855" t="s">
        <v>2391</v>
      </c>
      <c r="B471" s="1855" t="s">
        <v>16</v>
      </c>
      <c r="C471" s="1855" t="s">
        <v>3145</v>
      </c>
      <c r="D471" s="1855" t="s">
        <v>3146</v>
      </c>
      <c r="E471" s="1855" t="s">
        <v>3147</v>
      </c>
      <c r="F471" s="1855" t="s">
        <v>2596</v>
      </c>
      <c r="G471" s="1855" t="s">
        <v>22</v>
      </c>
      <c r="H471" s="1855" t="s">
        <v>22</v>
      </c>
      <c r="I471" s="1855" t="s">
        <v>952</v>
      </c>
    </row>
    <row customHeight="1" ht="11.25">
      <c r="A472" s="1855" t="s">
        <v>2391</v>
      </c>
      <c r="B472" s="1855" t="s">
        <v>16</v>
      </c>
      <c r="C472" s="1855" t="s">
        <v>3148</v>
      </c>
      <c r="D472" s="1855" t="s">
        <v>3149</v>
      </c>
      <c r="E472" s="1855" t="s">
        <v>3150</v>
      </c>
      <c r="F472" s="1855" t="s">
        <v>2698</v>
      </c>
      <c r="G472" s="1855" t="s">
        <v>22</v>
      </c>
      <c r="H472" s="1855" t="s">
        <v>22</v>
      </c>
      <c r="I472" s="1855" t="s">
        <v>952</v>
      </c>
    </row>
    <row customHeight="1" ht="11.25">
      <c r="A473" s="1855" t="s">
        <v>2391</v>
      </c>
      <c r="B473" s="1855" t="s">
        <v>16</v>
      </c>
      <c r="C473" s="1855" t="s">
        <v>3151</v>
      </c>
      <c r="D473" s="1855" t="s">
        <v>3152</v>
      </c>
      <c r="E473" s="1855" t="s">
        <v>3153</v>
      </c>
      <c r="F473" s="1855" t="s">
        <v>2853</v>
      </c>
      <c r="G473" s="1855" t="s">
        <v>22</v>
      </c>
      <c r="H473" s="1855" t="s">
        <v>22</v>
      </c>
      <c r="I473" s="1855" t="s">
        <v>952</v>
      </c>
    </row>
    <row customHeight="1" ht="11.25">
      <c r="A474" s="1855" t="s">
        <v>2391</v>
      </c>
      <c r="B474" s="1855" t="s">
        <v>16</v>
      </c>
      <c r="C474" s="1855" t="s">
        <v>3157</v>
      </c>
      <c r="D474" s="1855" t="s">
        <v>2707</v>
      </c>
      <c r="E474" s="1855" t="s">
        <v>3158</v>
      </c>
      <c r="F474" s="1855" t="s">
        <v>2853</v>
      </c>
      <c r="G474" s="1855" t="s">
        <v>3159</v>
      </c>
      <c r="H474" s="1855" t="s">
        <v>22</v>
      </c>
      <c r="I474" s="1855" t="s">
        <v>952</v>
      </c>
    </row>
    <row customHeight="1" ht="11.25">
      <c r="A475" s="1855" t="s">
        <v>2391</v>
      </c>
      <c r="B475" s="1855" t="s">
        <v>16</v>
      </c>
      <c r="C475" s="1855" t="s">
        <v>2720</v>
      </c>
      <c r="D475" s="1855" t="s">
        <v>2721</v>
      </c>
      <c r="E475" s="1855" t="s">
        <v>2722</v>
      </c>
      <c r="F475" s="1855" t="s">
        <v>2427</v>
      </c>
      <c r="G475" s="1855" t="s">
        <v>22</v>
      </c>
      <c r="H475" s="1855" t="s">
        <v>22</v>
      </c>
      <c r="I475" s="1855" t="s">
        <v>952</v>
      </c>
    </row>
    <row customHeight="1" ht="11.25">
      <c r="A476" s="1855" t="s">
        <v>2391</v>
      </c>
      <c r="B476" s="1855" t="s">
        <v>16</v>
      </c>
      <c r="C476" s="1855" t="s">
        <v>2723</v>
      </c>
      <c r="D476" s="1855" t="s">
        <v>2724</v>
      </c>
      <c r="E476" s="1855" t="s">
        <v>2725</v>
      </c>
      <c r="F476" s="1855" t="s">
        <v>2486</v>
      </c>
      <c r="G476" s="1855" t="s">
        <v>22</v>
      </c>
      <c r="H476" s="1855" t="s">
        <v>22</v>
      </c>
      <c r="I476" s="1855" t="s">
        <v>952</v>
      </c>
    </row>
    <row customHeight="1" ht="11.25">
      <c r="A477" s="1855" t="s">
        <v>2391</v>
      </c>
      <c r="B477" s="1855" t="s">
        <v>16</v>
      </c>
      <c r="C477" s="1855" t="s">
        <v>2780</v>
      </c>
      <c r="D477" s="1855" t="s">
        <v>2781</v>
      </c>
      <c r="E477" s="1855" t="s">
        <v>2782</v>
      </c>
      <c r="F477" s="1855" t="s">
        <v>2475</v>
      </c>
      <c r="G477" s="1855" t="s">
        <v>22</v>
      </c>
      <c r="H477" s="1855" t="s">
        <v>22</v>
      </c>
      <c r="I477" s="1855" t="s">
        <v>952</v>
      </c>
    </row>
    <row customHeight="1" ht="11.25">
      <c r="A478" s="1855" t="s">
        <v>2391</v>
      </c>
      <c r="B478" s="1855" t="s">
        <v>16</v>
      </c>
      <c r="C478" s="1855" t="s">
        <v>3164</v>
      </c>
      <c r="D478" s="1855" t="s">
        <v>3165</v>
      </c>
      <c r="E478" s="1855" t="s">
        <v>3166</v>
      </c>
      <c r="F478" s="1855" t="s">
        <v>2619</v>
      </c>
      <c r="G478" s="1855" t="s">
        <v>22</v>
      </c>
      <c r="H478" s="1855" t="s">
        <v>22</v>
      </c>
      <c r="I478" s="1855" t="s">
        <v>952</v>
      </c>
    </row>
    <row customHeight="1" ht="11.25">
      <c r="A479" s="1855" t="s">
        <v>2391</v>
      </c>
      <c r="B479" s="1855" t="s">
        <v>16</v>
      </c>
      <c r="C479" s="1855" t="s">
        <v>2793</v>
      </c>
      <c r="D479" s="1855" t="s">
        <v>2794</v>
      </c>
      <c r="E479" s="1855" t="s">
        <v>2795</v>
      </c>
      <c r="F479" s="1855" t="s">
        <v>2399</v>
      </c>
      <c r="G479" s="1855" t="s">
        <v>22</v>
      </c>
      <c r="H479" s="1855" t="s">
        <v>22</v>
      </c>
      <c r="I479" s="1855" t="s">
        <v>952</v>
      </c>
    </row>
    <row customHeight="1" ht="11.25">
      <c r="A480" s="1855" t="s">
        <v>2391</v>
      </c>
      <c r="B480" s="1855" t="s">
        <v>16</v>
      </c>
      <c r="C480" s="1855" t="s">
        <v>2799</v>
      </c>
      <c r="D480" s="1855" t="s">
        <v>2800</v>
      </c>
      <c r="E480" s="1855" t="s">
        <v>2801</v>
      </c>
      <c r="F480" s="1855" t="s">
        <v>2619</v>
      </c>
      <c r="G480" s="1855" t="s">
        <v>22</v>
      </c>
      <c r="H480" s="1855" t="s">
        <v>22</v>
      </c>
      <c r="I480" s="1855" t="s">
        <v>952</v>
      </c>
    </row>
    <row customHeight="1" ht="11.25">
      <c r="A481" s="1855" t="s">
        <v>2391</v>
      </c>
      <c r="B481" s="1855" t="s">
        <v>16</v>
      </c>
      <c r="C481" s="1855" t="s">
        <v>3167</v>
      </c>
      <c r="D481" s="1855" t="s">
        <v>3168</v>
      </c>
      <c r="E481" s="1855" t="s">
        <v>3169</v>
      </c>
      <c r="F481" s="1855" t="s">
        <v>2447</v>
      </c>
      <c r="G481" s="1855" t="s">
        <v>22</v>
      </c>
      <c r="H481" s="1855" t="s">
        <v>22</v>
      </c>
      <c r="I481" s="1855" t="s">
        <v>952</v>
      </c>
    </row>
    <row customHeight="1" ht="11.25">
      <c r="A482" s="1855" t="s">
        <v>2391</v>
      </c>
      <c r="B482" s="1855" t="s">
        <v>16</v>
      </c>
      <c r="C482" s="1855" t="s">
        <v>3170</v>
      </c>
      <c r="D482" s="1855" t="s">
        <v>3171</v>
      </c>
      <c r="E482" s="1855" t="s">
        <v>3172</v>
      </c>
      <c r="F482" s="1855" t="s">
        <v>2493</v>
      </c>
      <c r="G482" s="1855" t="s">
        <v>22</v>
      </c>
      <c r="H482" s="1855" t="s">
        <v>22</v>
      </c>
      <c r="I482" s="1855" t="s">
        <v>952</v>
      </c>
    </row>
    <row customHeight="1" ht="11.25">
      <c r="A483" s="1855" t="s">
        <v>2391</v>
      </c>
      <c r="B483" s="1855" t="s">
        <v>16</v>
      </c>
      <c r="C483" s="1855" t="s">
        <v>3173</v>
      </c>
      <c r="D483" s="1855" t="s">
        <v>2809</v>
      </c>
      <c r="E483" s="1855" t="s">
        <v>3174</v>
      </c>
      <c r="F483" s="1855" t="s">
        <v>2619</v>
      </c>
      <c r="G483" s="1855" t="s">
        <v>22</v>
      </c>
      <c r="H483" s="1855" t="s">
        <v>22</v>
      </c>
      <c r="I483" s="1855" t="s">
        <v>952</v>
      </c>
    </row>
    <row customHeight="1" ht="11.25">
      <c r="A484" s="1855" t="s">
        <v>2391</v>
      </c>
      <c r="B484" s="1855" t="s">
        <v>16</v>
      </c>
      <c r="C484" s="1855" t="s">
        <v>3175</v>
      </c>
      <c r="D484" s="1855" t="s">
        <v>3176</v>
      </c>
      <c r="E484" s="1855" t="s">
        <v>3177</v>
      </c>
      <c r="F484" s="1855" t="s">
        <v>2660</v>
      </c>
      <c r="G484" s="1855" t="s">
        <v>22</v>
      </c>
      <c r="H484" s="1855" t="s">
        <v>22</v>
      </c>
      <c r="I484" s="1855" t="s">
        <v>952</v>
      </c>
    </row>
    <row customHeight="1" ht="11.25">
      <c r="A485" s="1855" t="s">
        <v>2391</v>
      </c>
      <c r="B485" s="1855" t="s">
        <v>16</v>
      </c>
      <c r="C485" s="1855" t="s">
        <v>2826</v>
      </c>
      <c r="D485" s="1855" t="s">
        <v>2827</v>
      </c>
      <c r="E485" s="1855" t="s">
        <v>2828</v>
      </c>
      <c r="F485" s="1855" t="s">
        <v>2619</v>
      </c>
      <c r="G485" s="1855" t="s">
        <v>22</v>
      </c>
      <c r="H485" s="1855" t="s">
        <v>22</v>
      </c>
      <c r="I485" s="1855" t="s">
        <v>952</v>
      </c>
    </row>
    <row customHeight="1" ht="11.25">
      <c r="A486" s="1855" t="s">
        <v>2391</v>
      </c>
      <c r="B486" s="1855" t="s">
        <v>16</v>
      </c>
      <c r="C486" s="1855" t="s">
        <v>3190</v>
      </c>
      <c r="D486" s="1855" t="s">
        <v>3191</v>
      </c>
      <c r="E486" s="1855" t="s">
        <v>3192</v>
      </c>
      <c r="F486" s="1855" t="s">
        <v>2427</v>
      </c>
      <c r="G486" s="1855" t="s">
        <v>3193</v>
      </c>
      <c r="H486" s="1855" t="s">
        <v>22</v>
      </c>
      <c r="I486" s="1855" t="s">
        <v>952</v>
      </c>
    </row>
    <row customHeight="1" ht="11.25">
      <c r="A487" s="1855" t="s">
        <v>2391</v>
      </c>
      <c r="B487" s="1855" t="s">
        <v>16</v>
      </c>
      <c r="C487" s="1855" t="s">
        <v>3197</v>
      </c>
      <c r="D487" s="1855" t="s">
        <v>3198</v>
      </c>
      <c r="E487" s="1855" t="s">
        <v>3199</v>
      </c>
      <c r="F487" s="1855" t="s">
        <v>2619</v>
      </c>
      <c r="G487" s="1855" t="s">
        <v>22</v>
      </c>
      <c r="H487" s="1855" t="s">
        <v>22</v>
      </c>
      <c r="I487" s="1855" t="s">
        <v>952</v>
      </c>
    </row>
    <row customHeight="1" ht="11.25">
      <c r="A488" s="1855" t="s">
        <v>2391</v>
      </c>
      <c r="B488" s="1855" t="s">
        <v>16</v>
      </c>
      <c r="C488" s="1855" t="s">
        <v>2882</v>
      </c>
      <c r="D488" s="1855" t="s">
        <v>2883</v>
      </c>
      <c r="E488" s="1855" t="s">
        <v>2884</v>
      </c>
      <c r="F488" s="1855" t="s">
        <v>2698</v>
      </c>
      <c r="G488" s="1855" t="s">
        <v>22</v>
      </c>
      <c r="H488" s="1855" t="s">
        <v>22</v>
      </c>
      <c r="I488" s="1855" t="s">
        <v>952</v>
      </c>
    </row>
    <row customHeight="1" ht="11.25">
      <c r="A489" s="1855" t="s">
        <v>2391</v>
      </c>
      <c r="B489" s="1855" t="s">
        <v>16</v>
      </c>
      <c r="C489" s="1855" t="s">
        <v>2885</v>
      </c>
      <c r="D489" s="1855" t="s">
        <v>2886</v>
      </c>
      <c r="E489" s="1855" t="s">
        <v>2887</v>
      </c>
      <c r="F489" s="1855" t="s">
        <v>2525</v>
      </c>
      <c r="G489" s="1855" t="s">
        <v>2888</v>
      </c>
      <c r="H489" s="1855" t="s">
        <v>22</v>
      </c>
      <c r="I489" s="1855" t="s">
        <v>952</v>
      </c>
    </row>
    <row customHeight="1" ht="11.25">
      <c r="A490" s="1855" t="s">
        <v>2391</v>
      </c>
      <c r="B490" s="1855" t="s">
        <v>16</v>
      </c>
      <c r="C490" s="1855" t="s">
        <v>2921</v>
      </c>
      <c r="D490" s="1855" t="s">
        <v>2922</v>
      </c>
      <c r="E490" s="1855" t="s">
        <v>2923</v>
      </c>
      <c r="F490" s="1855" t="s">
        <v>2619</v>
      </c>
      <c r="G490" s="1855" t="s">
        <v>22</v>
      </c>
      <c r="H490" s="1855" t="s">
        <v>22</v>
      </c>
      <c r="I490" s="1855" t="s">
        <v>952</v>
      </c>
    </row>
    <row customHeight="1" ht="11.25">
      <c r="A491" s="1855" t="s">
        <v>2391</v>
      </c>
      <c r="B491" s="1855" t="s">
        <v>16</v>
      </c>
      <c r="C491" s="1855" t="s">
        <v>3203</v>
      </c>
      <c r="D491" s="1855" t="s">
        <v>3204</v>
      </c>
      <c r="E491" s="1855" t="s">
        <v>3205</v>
      </c>
      <c r="F491" s="1855" t="s">
        <v>3206</v>
      </c>
      <c r="G491" s="1855" t="s">
        <v>22</v>
      </c>
      <c r="H491" s="1855" t="s">
        <v>22</v>
      </c>
      <c r="I491" s="1855" t="s">
        <v>952</v>
      </c>
    </row>
    <row customHeight="1" ht="11.25">
      <c r="A492" s="1855" t="s">
        <v>2391</v>
      </c>
      <c r="B492" s="1855" t="s">
        <v>16</v>
      </c>
      <c r="C492" s="1855" t="s">
        <v>3234</v>
      </c>
      <c r="D492" s="1855" t="s">
        <v>3235</v>
      </c>
      <c r="E492" s="1855" t="s">
        <v>3236</v>
      </c>
      <c r="F492" s="1855" t="s">
        <v>2399</v>
      </c>
      <c r="G492" s="1855" t="s">
        <v>22</v>
      </c>
      <c r="H492" s="1855" t="s">
        <v>22</v>
      </c>
      <c r="I492" s="1855" t="s">
        <v>952</v>
      </c>
    </row>
    <row customHeight="1" ht="11.25">
      <c r="A493" s="1855" t="s">
        <v>2391</v>
      </c>
      <c r="B493" s="1855" t="s">
        <v>16</v>
      </c>
      <c r="C493" s="1855" t="s">
        <v>3207</v>
      </c>
      <c r="D493" s="1855" t="s">
        <v>3208</v>
      </c>
      <c r="E493" s="1855" t="s">
        <v>3209</v>
      </c>
      <c r="F493" s="1855" t="s">
        <v>2475</v>
      </c>
      <c r="G493" s="1855" t="s">
        <v>22</v>
      </c>
      <c r="H493" s="1855" t="s">
        <v>22</v>
      </c>
      <c r="I493" s="1855" t="s">
        <v>952</v>
      </c>
    </row>
    <row customHeight="1" ht="11.25">
      <c r="A494" s="1855" t="s">
        <v>2391</v>
      </c>
      <c r="B494" s="1855" t="s">
        <v>16</v>
      </c>
      <c r="C494" s="1855" t="s">
        <v>3210</v>
      </c>
      <c r="D494" s="1855" t="s">
        <v>3211</v>
      </c>
      <c r="E494" s="1855" t="s">
        <v>3212</v>
      </c>
      <c r="F494" s="1855" t="s">
        <v>2525</v>
      </c>
      <c r="G494" s="1855" t="s">
        <v>22</v>
      </c>
      <c r="H494" s="1855" t="s">
        <v>22</v>
      </c>
      <c r="I494" s="1855" t="s">
        <v>952</v>
      </c>
    </row>
    <row customHeight="1" ht="11.25">
      <c r="A495" s="1855" t="s">
        <v>2391</v>
      </c>
      <c r="B495" s="1855" t="s">
        <v>16</v>
      </c>
      <c r="C495" s="1855" t="s">
        <v>2937</v>
      </c>
      <c r="D495" s="1855" t="s">
        <v>2938</v>
      </c>
      <c r="E495" s="1855" t="s">
        <v>2939</v>
      </c>
      <c r="F495" s="1855" t="s">
        <v>2525</v>
      </c>
      <c r="G495" s="1855" t="s">
        <v>22</v>
      </c>
      <c r="H495" s="1855" t="s">
        <v>22</v>
      </c>
      <c r="I495" s="1855" t="s">
        <v>952</v>
      </c>
    </row>
    <row customHeight="1" ht="11.25">
      <c r="A496" s="1855" t="s">
        <v>2391</v>
      </c>
      <c r="B496" s="1855" t="s">
        <v>16</v>
      </c>
      <c r="C496" s="1855" t="s">
        <v>3237</v>
      </c>
      <c r="D496" s="1855" t="s">
        <v>3238</v>
      </c>
      <c r="E496" s="1855" t="s">
        <v>3239</v>
      </c>
      <c r="F496" s="1855" t="s">
        <v>3240</v>
      </c>
      <c r="G496" s="1855" t="s">
        <v>22</v>
      </c>
      <c r="H496" s="1855" t="s">
        <v>22</v>
      </c>
      <c r="I496" s="1855" t="s">
        <v>952</v>
      </c>
    </row>
    <row customHeight="1" ht="11.25">
      <c r="A497" s="1855" t="s">
        <v>2391</v>
      </c>
      <c r="B497" s="1855" t="s">
        <v>16</v>
      </c>
      <c r="C497" s="1855" t="s">
        <v>3241</v>
      </c>
      <c r="D497" s="1855" t="s">
        <v>3242</v>
      </c>
      <c r="E497" s="1855" t="s">
        <v>3243</v>
      </c>
      <c r="F497" s="1855" t="s">
        <v>2399</v>
      </c>
      <c r="G497" s="1855" t="s">
        <v>22</v>
      </c>
      <c r="H497" s="1855" t="s">
        <v>22</v>
      </c>
      <c r="I497" s="1855" t="s">
        <v>952</v>
      </c>
    </row>
    <row customHeight="1" ht="11.25">
      <c r="A498" s="1855" t="s">
        <v>2391</v>
      </c>
      <c r="B498" s="1855" t="s">
        <v>16</v>
      </c>
      <c r="C498" s="1855" t="s">
        <v>2972</v>
      </c>
      <c r="D498" s="1855" t="s">
        <v>2973</v>
      </c>
      <c r="E498" s="1855" t="s">
        <v>2974</v>
      </c>
      <c r="F498" s="1855" t="s">
        <v>2442</v>
      </c>
      <c r="G498" s="1855" t="s">
        <v>22</v>
      </c>
      <c r="H498" s="1855" t="s">
        <v>22</v>
      </c>
      <c r="I498" s="1855" t="s">
        <v>952</v>
      </c>
    </row>
    <row customHeight="1" ht="11.25">
      <c r="A499" s="1855" t="s">
        <v>2391</v>
      </c>
      <c r="B499" s="1855" t="s">
        <v>16</v>
      </c>
      <c r="C499" s="1855" t="s">
        <v>3219</v>
      </c>
      <c r="D499" s="1855" t="s">
        <v>3220</v>
      </c>
      <c r="E499" s="1855" t="s">
        <v>3221</v>
      </c>
      <c r="F499" s="1855" t="s">
        <v>2667</v>
      </c>
      <c r="G499" s="1855" t="s">
        <v>22</v>
      </c>
      <c r="H499" s="1855" t="s">
        <v>22</v>
      </c>
      <c r="I499" s="1855" t="s">
        <v>952</v>
      </c>
    </row>
    <row customHeight="1" ht="11.25">
      <c r="A500" s="1855" t="s">
        <v>2391</v>
      </c>
      <c r="B500" s="1855" t="s">
        <v>16</v>
      </c>
      <c r="C500" s="1855" t="s">
        <v>3222</v>
      </c>
      <c r="D500" s="1855" t="s">
        <v>3223</v>
      </c>
      <c r="E500" s="1855" t="s">
        <v>3224</v>
      </c>
      <c r="F500" s="1855" t="s">
        <v>2486</v>
      </c>
      <c r="G500" s="1855" t="s">
        <v>22</v>
      </c>
      <c r="H500" s="1855" t="s">
        <v>22</v>
      </c>
      <c r="I500" s="1855" t="s">
        <v>952</v>
      </c>
    </row>
    <row customHeight="1" ht="11.25">
      <c r="A501" s="1855" t="s">
        <v>2391</v>
      </c>
      <c r="B501" s="1855" t="s">
        <v>16</v>
      </c>
      <c r="C501" s="1855" t="s">
        <v>3225</v>
      </c>
      <c r="D501" s="1855" t="s">
        <v>3226</v>
      </c>
      <c r="E501" s="1855" t="s">
        <v>3227</v>
      </c>
      <c r="F501" s="1855" t="s">
        <v>2427</v>
      </c>
      <c r="G501" s="1855" t="s">
        <v>22</v>
      </c>
      <c r="H501" s="1855" t="s">
        <v>22</v>
      </c>
      <c r="I501" s="1855" t="s">
        <v>952</v>
      </c>
    </row>
    <row customHeight="1" ht="11.25">
      <c r="A502" s="1855" t="s">
        <v>2391</v>
      </c>
      <c r="B502" s="1855" t="s">
        <v>16</v>
      </c>
      <c r="C502" s="1855" t="s">
        <v>22</v>
      </c>
      <c r="D502" s="1855" t="s">
        <v>2996</v>
      </c>
      <c r="E502" s="1855" t="s">
        <v>2997</v>
      </c>
      <c r="F502" s="1855" t="s">
        <v>2399</v>
      </c>
      <c r="G502" s="1855" t="s">
        <v>22</v>
      </c>
      <c r="H502" s="1855" t="s">
        <v>22</v>
      </c>
      <c r="I502" s="1855" t="s">
        <v>952</v>
      </c>
    </row>
    <row customHeight="1" ht="11.25">
      <c r="A503" s="1855" t="s">
        <v>2391</v>
      </c>
      <c r="B503" s="1855" t="s">
        <v>16</v>
      </c>
      <c r="C503" s="1855" t="s">
        <v>2998</v>
      </c>
      <c r="D503" s="1855" t="s">
        <v>2999</v>
      </c>
      <c r="E503" s="1855" t="s">
        <v>3000</v>
      </c>
      <c r="F503" s="1855" t="s">
        <v>3001</v>
      </c>
      <c r="G503" s="1855" t="s">
        <v>22</v>
      </c>
      <c r="H503" s="1855" t="s">
        <v>22</v>
      </c>
      <c r="I503" s="1855" t="s">
        <v>952</v>
      </c>
    </row>
    <row customHeight="1" ht="11.25">
      <c r="A504" s="1855" t="s">
        <v>2391</v>
      </c>
      <c r="B504" s="1855" t="s">
        <v>16</v>
      </c>
      <c r="C504" s="1855" t="s">
        <v>3002</v>
      </c>
      <c r="D504" s="1855" t="s">
        <v>3003</v>
      </c>
      <c r="E504" s="1855" t="s">
        <v>3000</v>
      </c>
      <c r="F504" s="1855" t="s">
        <v>3004</v>
      </c>
      <c r="G504" s="1855" t="s">
        <v>3005</v>
      </c>
      <c r="H504" s="1855" t="s">
        <v>22</v>
      </c>
      <c r="I504" s="1855" t="s">
        <v>952</v>
      </c>
    </row>
    <row customHeight="1" ht="11.25">
      <c r="A505" s="1855" t="s">
        <v>2391</v>
      </c>
      <c r="B505" s="1855" t="s">
        <v>16</v>
      </c>
      <c r="C505" s="1855" t="s">
        <v>3006</v>
      </c>
      <c r="D505" s="1855" t="s">
        <v>3007</v>
      </c>
      <c r="E505" s="1855" t="s">
        <v>3008</v>
      </c>
      <c r="F505" s="1855" t="s">
        <v>2403</v>
      </c>
      <c r="G505" s="1855" t="s">
        <v>22</v>
      </c>
      <c r="H505" s="1855" t="s">
        <v>22</v>
      </c>
      <c r="I505" s="1855" t="s">
        <v>952</v>
      </c>
    </row>
    <row customHeight="1" ht="11.25">
      <c r="A506" s="1855" t="s">
        <v>2391</v>
      </c>
      <c r="B506" s="1855" t="s">
        <v>16</v>
      </c>
      <c r="C506" s="1855" t="s">
        <v>3244</v>
      </c>
      <c r="D506" s="1855" t="s">
        <v>3245</v>
      </c>
      <c r="E506" s="1855" t="s">
        <v>3246</v>
      </c>
      <c r="F506" s="1855" t="s">
        <v>592</v>
      </c>
      <c r="G506" s="1855" t="s">
        <v>22</v>
      </c>
      <c r="H506" s="1855" t="s">
        <v>22</v>
      </c>
      <c r="I506" s="1855" t="s">
        <v>1791</v>
      </c>
    </row>
    <row customHeight="1" ht="11.25">
      <c r="A507" s="1855" t="s">
        <v>2391</v>
      </c>
      <c r="B507" s="1855" t="s">
        <v>16</v>
      </c>
      <c r="C507" s="1855" t="s">
        <v>3247</v>
      </c>
      <c r="D507" s="1855" t="s">
        <v>3248</v>
      </c>
      <c r="E507" s="1855" t="s">
        <v>3249</v>
      </c>
      <c r="F507" s="1855" t="s">
        <v>592</v>
      </c>
      <c r="G507" s="1855" t="s">
        <v>22</v>
      </c>
      <c r="H507" s="1855" t="s">
        <v>22</v>
      </c>
      <c r="I507" s="1855" t="s">
        <v>1791</v>
      </c>
    </row>
    <row customHeight="1" ht="11.25">
      <c r="A508" s="1855" t="s">
        <v>2391</v>
      </c>
      <c r="B508" s="1855" t="s">
        <v>16</v>
      </c>
      <c r="C508" s="1855" t="s">
        <v>3250</v>
      </c>
      <c r="D508" s="1855" t="s">
        <v>3251</v>
      </c>
      <c r="E508" s="1855" t="s">
        <v>3252</v>
      </c>
      <c r="F508" s="1855" t="s">
        <v>2399</v>
      </c>
      <c r="G508" s="1855" t="s">
        <v>22</v>
      </c>
      <c r="H508" s="1855" t="s">
        <v>22</v>
      </c>
      <c r="I508" s="1855" t="s">
        <v>1791</v>
      </c>
    </row>
    <row customHeight="1" ht="11.25">
      <c r="A509" s="1855" t="s">
        <v>2391</v>
      </c>
      <c r="B509" s="1855" t="s">
        <v>16</v>
      </c>
      <c r="C509" s="1855" t="s">
        <v>3253</v>
      </c>
      <c r="D509" s="1855" t="s">
        <v>3254</v>
      </c>
      <c r="E509" s="1855" t="s">
        <v>3255</v>
      </c>
      <c r="F509" s="1855" t="s">
        <v>2403</v>
      </c>
      <c r="G509" s="1855" t="s">
        <v>22</v>
      </c>
      <c r="H509" s="1855" t="s">
        <v>22</v>
      </c>
      <c r="I509" s="1855" t="s">
        <v>1791</v>
      </c>
    </row>
    <row customHeight="1" ht="11.25">
      <c r="A510" s="1855" t="s">
        <v>2391</v>
      </c>
      <c r="B510" s="1855" t="s">
        <v>16</v>
      </c>
      <c r="C510" s="1855" t="s">
        <v>3256</v>
      </c>
      <c r="D510" s="1855" t="s">
        <v>3257</v>
      </c>
      <c r="E510" s="1855" t="s">
        <v>3258</v>
      </c>
      <c r="F510" s="1855" t="s">
        <v>2486</v>
      </c>
      <c r="G510" s="1855" t="s">
        <v>22</v>
      </c>
      <c r="H510" s="1855" t="s">
        <v>22</v>
      </c>
      <c r="I510" s="1855" t="s">
        <v>1791</v>
      </c>
    </row>
    <row customHeight="1" ht="11.25">
      <c r="A511" s="1855" t="s">
        <v>2391</v>
      </c>
      <c r="B511" s="1855" t="s">
        <v>16</v>
      </c>
      <c r="C511" s="1855" t="s">
        <v>3259</v>
      </c>
      <c r="D511" s="1855" t="s">
        <v>3260</v>
      </c>
      <c r="E511" s="1855" t="s">
        <v>3261</v>
      </c>
      <c r="F511" s="1855" t="s">
        <v>2475</v>
      </c>
      <c r="G511" s="1855" t="s">
        <v>22</v>
      </c>
      <c r="H511" s="1855" t="s">
        <v>22</v>
      </c>
      <c r="I511" s="1855" t="s">
        <v>1791</v>
      </c>
    </row>
    <row customHeight="1" ht="11.25">
      <c r="A512" s="1855" t="s">
        <v>2391</v>
      </c>
      <c r="B512" s="1855" t="s">
        <v>16</v>
      </c>
      <c r="C512" s="1855" t="s">
        <v>3262</v>
      </c>
      <c r="D512" s="1855" t="s">
        <v>3263</v>
      </c>
      <c r="E512" s="1855" t="s">
        <v>3264</v>
      </c>
      <c r="F512" s="1855" t="s">
        <v>2399</v>
      </c>
      <c r="G512" s="1855" t="s">
        <v>22</v>
      </c>
      <c r="H512" s="1855" t="s">
        <v>22</v>
      </c>
      <c r="I512" s="1855" t="s">
        <v>1791</v>
      </c>
    </row>
    <row customHeight="1" ht="11.25">
      <c r="A513" s="1855" t="s">
        <v>2391</v>
      </c>
      <c r="B513" s="1855" t="s">
        <v>16</v>
      </c>
      <c r="C513" s="1855" t="s">
        <v>3265</v>
      </c>
      <c r="D513" s="1855" t="s">
        <v>3266</v>
      </c>
      <c r="E513" s="1855" t="s">
        <v>3267</v>
      </c>
      <c r="F513" s="1855" t="s">
        <v>2486</v>
      </c>
      <c r="G513" s="1855" t="s">
        <v>22</v>
      </c>
      <c r="H513" s="1855" t="s">
        <v>22</v>
      </c>
      <c r="I513" s="1855" t="s">
        <v>1791</v>
      </c>
    </row>
    <row customHeight="1" ht="11.25">
      <c r="A514" s="1855" t="s">
        <v>2391</v>
      </c>
      <c r="B514" s="1855" t="s">
        <v>16</v>
      </c>
      <c r="C514" s="1855" t="s">
        <v>3268</v>
      </c>
      <c r="D514" s="1855" t="s">
        <v>3269</v>
      </c>
      <c r="E514" s="1855" t="s">
        <v>3270</v>
      </c>
      <c r="F514" s="1855" t="s">
        <v>2399</v>
      </c>
      <c r="G514" s="1855" t="s">
        <v>22</v>
      </c>
      <c r="H514" s="1855" t="s">
        <v>22</v>
      </c>
      <c r="I514" s="1855" t="s">
        <v>1791</v>
      </c>
    </row>
    <row customHeight="1" ht="11.25">
      <c r="A515" s="1855" t="s">
        <v>2391</v>
      </c>
      <c r="B515" s="1855" t="s">
        <v>16</v>
      </c>
      <c r="C515" s="1855" t="s">
        <v>3271</v>
      </c>
      <c r="D515" s="1855" t="s">
        <v>3272</v>
      </c>
      <c r="E515" s="1855" t="s">
        <v>3273</v>
      </c>
      <c r="F515" s="1855" t="s">
        <v>2399</v>
      </c>
      <c r="G515" s="1855" t="s">
        <v>22</v>
      </c>
      <c r="H515" s="1855" t="s">
        <v>22</v>
      </c>
      <c r="I515" s="1855" t="s">
        <v>1791</v>
      </c>
    </row>
    <row customHeight="1" ht="11.25">
      <c r="A516" s="1855" t="s">
        <v>2391</v>
      </c>
      <c r="B516" s="1855" t="s">
        <v>16</v>
      </c>
      <c r="C516" s="1855" t="s">
        <v>3274</v>
      </c>
      <c r="D516" s="1855" t="s">
        <v>3275</v>
      </c>
      <c r="E516" s="1855" t="s">
        <v>3276</v>
      </c>
      <c r="F516" s="1855" t="s">
        <v>2399</v>
      </c>
      <c r="G516" s="1855" t="s">
        <v>22</v>
      </c>
      <c r="H516" s="1855" t="s">
        <v>22</v>
      </c>
      <c r="I516" s="1855" t="s">
        <v>1791</v>
      </c>
    </row>
    <row customHeight="1" ht="11.25">
      <c r="A517" s="1855" t="s">
        <v>2391</v>
      </c>
      <c r="B517" s="1855" t="s">
        <v>16</v>
      </c>
      <c r="C517" s="1855" t="s">
        <v>3277</v>
      </c>
      <c r="D517" s="1855" t="s">
        <v>3278</v>
      </c>
      <c r="E517" s="1855" t="s">
        <v>3279</v>
      </c>
      <c r="F517" s="1855" t="s">
        <v>2493</v>
      </c>
      <c r="G517" s="1855" t="s">
        <v>22</v>
      </c>
      <c r="H517" s="1855" t="s">
        <v>22</v>
      </c>
      <c r="I517" s="1855" t="s">
        <v>1791</v>
      </c>
    </row>
    <row customHeight="1" ht="11.25">
      <c r="A518" s="1855" t="s">
        <v>2391</v>
      </c>
      <c r="B518" s="1855" t="s">
        <v>16</v>
      </c>
      <c r="C518" s="1855" t="s">
        <v>3280</v>
      </c>
      <c r="D518" s="1855" t="s">
        <v>3281</v>
      </c>
      <c r="E518" s="1855" t="s">
        <v>3282</v>
      </c>
      <c r="F518" s="1855" t="s">
        <v>2475</v>
      </c>
      <c r="G518" s="1855" t="s">
        <v>22</v>
      </c>
      <c r="H518" s="1855" t="s">
        <v>22</v>
      </c>
      <c r="I518" s="1855" t="s">
        <v>1791</v>
      </c>
    </row>
    <row customHeight="1" ht="11.25">
      <c r="A519" s="1855" t="s">
        <v>2391</v>
      </c>
      <c r="B519" s="1855" t="s">
        <v>16</v>
      </c>
      <c r="C519" s="1855" t="s">
        <v>3283</v>
      </c>
      <c r="D519" s="1855" t="s">
        <v>3284</v>
      </c>
      <c r="E519" s="1855" t="s">
        <v>3285</v>
      </c>
      <c r="F519" s="1855" t="s">
        <v>2493</v>
      </c>
      <c r="G519" s="1855" t="s">
        <v>22</v>
      </c>
      <c r="H519" s="1855" t="s">
        <v>22</v>
      </c>
      <c r="I519" s="1855" t="s">
        <v>1791</v>
      </c>
    </row>
    <row customHeight="1" ht="11.25">
      <c r="A520" s="1855" t="s">
        <v>2391</v>
      </c>
      <c r="B520" s="1855" t="s">
        <v>16</v>
      </c>
      <c r="C520" s="1855" t="s">
        <v>22</v>
      </c>
      <c r="D520" s="1855" t="s">
        <v>2996</v>
      </c>
      <c r="E520" s="1855" t="s">
        <v>2997</v>
      </c>
      <c r="F520" s="1855" t="s">
        <v>2399</v>
      </c>
      <c r="G520" s="1855" t="s">
        <v>22</v>
      </c>
      <c r="H520" s="1855" t="s">
        <v>22</v>
      </c>
      <c r="I520" s="1855" t="s">
        <v>1791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5C4CA-3CA7-F402-646B-7B1E4E014205}"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5" width="9.140625"/>
  </cols>
  <sheetData>
    <row customHeight="1" ht="11.25">
      <c r="A1" s="381" t="s">
        <v>3286</v>
      </c>
      <c r="B1" s="72" t="s">
        <v>3287</v>
      </c>
      <c r="C1" s="72" t="s">
        <v>3288</v>
      </c>
      <c r="D1" s="72" t="s">
        <v>3289</v>
      </c>
      <c r="E1" s="69" t="s">
        <v>3290</v>
      </c>
      <c r="F1" s="69" t="s">
        <v>3291</v>
      </c>
      <c r="G1" s="69" t="s">
        <v>3292</v>
      </c>
    </row>
    <row customHeight="1" ht="11.25">
      <c r="A2" s="381" t="s">
        <v>16</v>
      </c>
      <c r="B2" s="0" t="s">
        <v>3293</v>
      </c>
      <c r="C2" s="0" t="s">
        <v>3294</v>
      </c>
      <c r="D2" s="0" t="s">
        <v>3293</v>
      </c>
      <c r="E2" s="0" t="s">
        <v>3294</v>
      </c>
      <c r="F2" s="0" t="s">
        <v>3295</v>
      </c>
      <c r="G2" s="0" t="s">
        <v>118</v>
      </c>
    </row>
    <row customHeight="1" ht="11.25">
      <c r="A3" s="381" t="s">
        <v>16</v>
      </c>
      <c r="B3" s="0" t="s">
        <v>3296</v>
      </c>
      <c r="C3" s="0" t="s">
        <v>3297</v>
      </c>
      <c r="D3" s="0" t="s">
        <v>3296</v>
      </c>
      <c r="E3" s="0" t="s">
        <v>3297</v>
      </c>
      <c r="F3" s="0" t="s">
        <v>3295</v>
      </c>
      <c r="G3" s="0" t="s">
        <v>102</v>
      </c>
    </row>
    <row customHeight="1" ht="11.25">
      <c r="A4" s="381" t="s">
        <v>16</v>
      </c>
      <c r="B4" s="0" t="s">
        <v>109</v>
      </c>
      <c r="C4" s="0" t="s">
        <v>3298</v>
      </c>
      <c r="D4" s="0" t="s">
        <v>109</v>
      </c>
      <c r="E4" s="0" t="s">
        <v>3298</v>
      </c>
      <c r="F4" s="0" t="s">
        <v>3295</v>
      </c>
      <c r="G4" s="0" t="s">
        <v>90</v>
      </c>
    </row>
    <row customHeight="1" ht="11.25">
      <c r="A5" s="381" t="s">
        <v>16</v>
      </c>
      <c r="B5" s="0" t="s">
        <v>109</v>
      </c>
      <c r="C5" s="0" t="s">
        <v>3298</v>
      </c>
      <c r="D5" s="0" t="s">
        <v>110</v>
      </c>
      <c r="E5" s="0" t="s">
        <v>111</v>
      </c>
      <c r="F5" s="0" t="s">
        <v>3299</v>
      </c>
      <c r="G5" s="0" t="s">
        <v>91</v>
      </c>
    </row>
    <row customHeight="1" ht="11.25">
      <c r="A6" s="381" t="s">
        <v>16</v>
      </c>
      <c r="B6" s="0" t="s">
        <v>3300</v>
      </c>
      <c r="C6" s="0" t="s">
        <v>3301</v>
      </c>
      <c r="D6" s="0" t="s">
        <v>3300</v>
      </c>
      <c r="E6" s="0" t="s">
        <v>3301</v>
      </c>
      <c r="F6" s="0" t="s">
        <v>3295</v>
      </c>
      <c r="G6" s="0" t="s">
        <v>119</v>
      </c>
    </row>
    <row customHeight="1" ht="11.25">
      <c r="A7" s="381" t="s">
        <v>16</v>
      </c>
      <c r="B7" s="0" t="s">
        <v>3302</v>
      </c>
      <c r="C7" s="0" t="s">
        <v>3303</v>
      </c>
      <c r="D7" s="0" t="s">
        <v>3302</v>
      </c>
      <c r="E7" s="0" t="s">
        <v>3303</v>
      </c>
      <c r="F7" s="0" t="s">
        <v>3304</v>
      </c>
      <c r="G7" s="0" t="s">
        <v>92</v>
      </c>
    </row>
    <row customHeight="1" ht="11.25">
      <c r="A8" s="381" t="s">
        <v>16</v>
      </c>
      <c r="B8" s="0" t="s">
        <v>99</v>
      </c>
      <c r="C8" s="0" t="s">
        <v>100</v>
      </c>
      <c r="D8" s="0" t="s">
        <v>99</v>
      </c>
      <c r="E8" s="0" t="s">
        <v>100</v>
      </c>
      <c r="F8" s="0" t="s">
        <v>3304</v>
      </c>
      <c r="G8" s="0" t="s">
        <v>93</v>
      </c>
    </row>
    <row customHeight="1" ht="11.25">
      <c r="A9" s="381" t="s">
        <v>16</v>
      </c>
      <c r="B9" s="0" t="s">
        <v>3305</v>
      </c>
      <c r="C9" s="0" t="s">
        <v>3306</v>
      </c>
      <c r="D9" s="0" t="s">
        <v>3305</v>
      </c>
      <c r="E9" s="0" t="s">
        <v>3306</v>
      </c>
      <c r="F9" s="0" t="s">
        <v>3304</v>
      </c>
      <c r="G9" s="0" t="s">
        <v>120</v>
      </c>
    </row>
    <row customHeight="1" ht="11.25">
      <c r="A10" s="381" t="s">
        <v>16</v>
      </c>
      <c r="B10" s="0" t="s">
        <v>3307</v>
      </c>
      <c r="C10" s="0" t="s">
        <v>3308</v>
      </c>
      <c r="D10" s="0" t="s">
        <v>3307</v>
      </c>
      <c r="E10" s="0" t="s">
        <v>3308</v>
      </c>
      <c r="F10" s="0" t="s">
        <v>3304</v>
      </c>
      <c r="G10" s="0" t="s">
        <v>167</v>
      </c>
    </row>
    <row customHeight="1" ht="11.25">
      <c r="A11" s="381" t="s">
        <v>16</v>
      </c>
      <c r="B11" s="0" t="s">
        <v>3309</v>
      </c>
      <c r="C11" s="0" t="s">
        <v>3310</v>
      </c>
      <c r="D11" s="0" t="s">
        <v>3309</v>
      </c>
      <c r="E11" s="0" t="s">
        <v>3310</v>
      </c>
      <c r="F11" s="0" t="s">
        <v>3304</v>
      </c>
      <c r="G11" s="0" t="s">
        <v>168</v>
      </c>
    </row>
    <row customHeight="1" ht="11.25">
      <c r="A12" s="381" t="s">
        <v>16</v>
      </c>
      <c r="B12" s="0" t="s">
        <v>3311</v>
      </c>
      <c r="C12" s="0" t="s">
        <v>3312</v>
      </c>
      <c r="D12" s="0" t="s">
        <v>3311</v>
      </c>
      <c r="E12" s="0" t="s">
        <v>3312</v>
      </c>
      <c r="F12" s="0" t="s">
        <v>3304</v>
      </c>
      <c r="G12" s="0" t="s">
        <v>169</v>
      </c>
    </row>
    <row customHeight="1" ht="11.25">
      <c r="A13" s="381" t="s">
        <v>16</v>
      </c>
      <c r="B13" s="0" t="s">
        <v>3313</v>
      </c>
      <c r="C13" s="0" t="s">
        <v>3314</v>
      </c>
      <c r="D13" s="0" t="s">
        <v>3313</v>
      </c>
      <c r="E13" s="0" t="s">
        <v>3314</v>
      </c>
      <c r="F13" s="0" t="s">
        <v>3304</v>
      </c>
      <c r="G13" s="0" t="s">
        <v>170</v>
      </c>
    </row>
    <row customHeight="1" ht="11.25">
      <c r="A14" s="381" t="s">
        <v>16</v>
      </c>
      <c r="B14" s="0" t="s">
        <v>3315</v>
      </c>
      <c r="C14" s="0" t="s">
        <v>3316</v>
      </c>
      <c r="D14" s="0" t="s">
        <v>3315</v>
      </c>
      <c r="E14" s="0" t="s">
        <v>3316</v>
      </c>
      <c r="F14" s="0" t="s">
        <v>3304</v>
      </c>
      <c r="G14" s="0" t="s">
        <v>171</v>
      </c>
    </row>
    <row customHeight="1" ht="11.25">
      <c r="A15" s="381" t="s">
        <v>16</v>
      </c>
      <c r="B15" s="0" t="s">
        <v>3317</v>
      </c>
      <c r="C15" s="0" t="s">
        <v>3318</v>
      </c>
      <c r="D15" s="0" t="s">
        <v>3317</v>
      </c>
      <c r="E15" s="0" t="s">
        <v>3318</v>
      </c>
      <c r="F15" s="0" t="s">
        <v>3295</v>
      </c>
      <c r="G15" s="0" t="s">
        <v>172</v>
      </c>
    </row>
    <row customHeight="1" ht="11.25">
      <c r="A16" s="381" t="s">
        <v>16</v>
      </c>
      <c r="B16" s="0" t="s">
        <v>3319</v>
      </c>
      <c r="C16" s="0" t="s">
        <v>3320</v>
      </c>
      <c r="D16" s="0" t="s">
        <v>3319</v>
      </c>
      <c r="E16" s="0" t="s">
        <v>3320</v>
      </c>
      <c r="F16" s="0" t="s">
        <v>3295</v>
      </c>
      <c r="G16" s="0" t="s">
        <v>1120</v>
      </c>
    </row>
    <row customHeight="1" ht="11.25">
      <c r="A17" s="381" t="s">
        <v>16</v>
      </c>
      <c r="B17" s="0" t="s">
        <v>3321</v>
      </c>
      <c r="C17" s="0" t="s">
        <v>3322</v>
      </c>
      <c r="D17" s="0" t="s">
        <v>3323</v>
      </c>
      <c r="E17" s="0" t="s">
        <v>3324</v>
      </c>
      <c r="F17" s="0" t="s">
        <v>3299</v>
      </c>
      <c r="G17" s="0" t="s">
        <v>1124</v>
      </c>
    </row>
    <row customHeight="1" ht="11.25">
      <c r="A18" s="381" t="s">
        <v>16</v>
      </c>
      <c r="B18" s="0" t="s">
        <v>3321</v>
      </c>
      <c r="C18" s="0" t="s">
        <v>3322</v>
      </c>
      <c r="D18" s="0" t="s">
        <v>3325</v>
      </c>
      <c r="E18" s="0" t="s">
        <v>3326</v>
      </c>
      <c r="F18" s="0" t="s">
        <v>3299</v>
      </c>
      <c r="G18" s="0" t="s">
        <v>1128</v>
      </c>
    </row>
    <row customHeight="1" ht="11.25">
      <c r="A19" s="381" t="s">
        <v>16</v>
      </c>
      <c r="B19" s="0" t="s">
        <v>3321</v>
      </c>
      <c r="C19" s="0" t="s">
        <v>3322</v>
      </c>
      <c r="D19" s="0" t="s">
        <v>3327</v>
      </c>
      <c r="E19" s="0" t="s">
        <v>3328</v>
      </c>
      <c r="F19" s="0" t="s">
        <v>3299</v>
      </c>
      <c r="G19" s="0" t="s">
        <v>1130</v>
      </c>
    </row>
    <row customHeight="1" ht="11.25">
      <c r="A20" s="381" t="s">
        <v>16</v>
      </c>
      <c r="B20" s="0" t="s">
        <v>3321</v>
      </c>
      <c r="C20" s="0" t="s">
        <v>3322</v>
      </c>
      <c r="D20" s="0" t="s">
        <v>3329</v>
      </c>
      <c r="E20" s="0" t="s">
        <v>3330</v>
      </c>
      <c r="F20" s="0" t="s">
        <v>3299</v>
      </c>
      <c r="G20" s="0" t="s">
        <v>1133</v>
      </c>
    </row>
    <row customHeight="1" ht="11.25">
      <c r="A21" s="381" t="s">
        <v>16</v>
      </c>
      <c r="B21" s="0" t="s">
        <v>3321</v>
      </c>
      <c r="C21" s="0" t="s">
        <v>3322</v>
      </c>
      <c r="D21" s="0" t="s">
        <v>3331</v>
      </c>
      <c r="E21" s="0" t="s">
        <v>3332</v>
      </c>
      <c r="F21" s="0" t="s">
        <v>3299</v>
      </c>
      <c r="G21" s="0" t="s">
        <v>1135</v>
      </c>
    </row>
    <row customHeight="1" ht="11.25">
      <c r="A22" s="381" t="s">
        <v>16</v>
      </c>
      <c r="B22" s="0" t="s">
        <v>3321</v>
      </c>
      <c r="C22" s="0" t="s">
        <v>3322</v>
      </c>
      <c r="D22" s="0" t="s">
        <v>3333</v>
      </c>
      <c r="E22" s="0" t="s">
        <v>3334</v>
      </c>
      <c r="F22" s="0" t="s">
        <v>3299</v>
      </c>
      <c r="G22" s="0" t="s">
        <v>1137</v>
      </c>
    </row>
    <row customHeight="1" ht="11.25">
      <c r="A23" s="381" t="s">
        <v>16</v>
      </c>
      <c r="B23" s="0" t="s">
        <v>3321</v>
      </c>
      <c r="C23" s="0" t="s">
        <v>3322</v>
      </c>
      <c r="D23" s="0" t="s">
        <v>3335</v>
      </c>
      <c r="E23" s="0" t="s">
        <v>3336</v>
      </c>
      <c r="F23" s="0" t="s">
        <v>3299</v>
      </c>
      <c r="G23" s="0" t="s">
        <v>1139</v>
      </c>
    </row>
    <row customHeight="1" ht="11.25">
      <c r="A24" s="381" t="s">
        <v>16</v>
      </c>
      <c r="B24" s="0" t="s">
        <v>3321</v>
      </c>
      <c r="C24" s="0" t="s">
        <v>3322</v>
      </c>
      <c r="D24" s="0" t="s">
        <v>3321</v>
      </c>
      <c r="E24" s="0" t="s">
        <v>3322</v>
      </c>
      <c r="F24" s="0" t="s">
        <v>3337</v>
      </c>
      <c r="G24" s="0" t="s">
        <v>1141</v>
      </c>
    </row>
    <row customHeight="1" ht="11.25">
      <c r="A25" s="381" t="s">
        <v>16</v>
      </c>
      <c r="B25" s="0" t="s">
        <v>3321</v>
      </c>
      <c r="C25" s="0" t="s">
        <v>3322</v>
      </c>
      <c r="D25" s="0" t="s">
        <v>3338</v>
      </c>
      <c r="E25" s="0" t="s">
        <v>3339</v>
      </c>
      <c r="F25" s="0" t="s">
        <v>3299</v>
      </c>
      <c r="G25" s="0" t="s">
        <v>1143</v>
      </c>
    </row>
    <row customHeight="1" ht="11.25">
      <c r="A26" s="381" t="s">
        <v>16</v>
      </c>
      <c r="B26" s="0" t="s">
        <v>3321</v>
      </c>
      <c r="C26" s="0" t="s">
        <v>3322</v>
      </c>
      <c r="D26" s="0" t="s">
        <v>3340</v>
      </c>
      <c r="E26" s="0" t="s">
        <v>3341</v>
      </c>
      <c r="F26" s="0" t="s">
        <v>3342</v>
      </c>
      <c r="G26" s="0" t="s">
        <v>1145</v>
      </c>
    </row>
    <row customHeight="1" ht="11.25">
      <c r="A27" s="381" t="s">
        <v>16</v>
      </c>
      <c r="B27" s="0" t="s">
        <v>3321</v>
      </c>
      <c r="C27" s="0" t="s">
        <v>3322</v>
      </c>
      <c r="D27" s="0" t="s">
        <v>3343</v>
      </c>
      <c r="E27" s="0" t="s">
        <v>3344</v>
      </c>
      <c r="F27" s="0" t="s">
        <v>3299</v>
      </c>
      <c r="G27" s="0" t="s">
        <v>1148</v>
      </c>
    </row>
    <row customHeight="1" ht="11.25">
      <c r="A28" s="381" t="s">
        <v>16</v>
      </c>
      <c r="B28" s="0" t="s">
        <v>3321</v>
      </c>
      <c r="C28" s="0" t="s">
        <v>3322</v>
      </c>
      <c r="D28" s="0" t="s">
        <v>3345</v>
      </c>
      <c r="E28" s="0" t="s">
        <v>3346</v>
      </c>
      <c r="F28" s="0" t="s">
        <v>3299</v>
      </c>
      <c r="G28" s="0" t="s">
        <v>1150</v>
      </c>
    </row>
    <row customHeight="1" ht="11.25">
      <c r="A29" s="381" t="s">
        <v>16</v>
      </c>
      <c r="B29" s="0" t="s">
        <v>3321</v>
      </c>
      <c r="C29" s="0" t="s">
        <v>3322</v>
      </c>
      <c r="D29" s="0" t="s">
        <v>3347</v>
      </c>
      <c r="E29" s="0" t="s">
        <v>3348</v>
      </c>
      <c r="F29" s="0" t="s">
        <v>3299</v>
      </c>
      <c r="G29" s="0" t="s">
        <v>1152</v>
      </c>
    </row>
    <row customHeight="1" ht="11.25">
      <c r="A30" s="381" t="s">
        <v>16</v>
      </c>
      <c r="B30" s="0" t="s">
        <v>3321</v>
      </c>
      <c r="C30" s="0" t="s">
        <v>3322</v>
      </c>
      <c r="D30" s="0" t="s">
        <v>3349</v>
      </c>
      <c r="E30" s="0" t="s">
        <v>3350</v>
      </c>
      <c r="F30" s="0" t="s">
        <v>3299</v>
      </c>
      <c r="G30" s="0" t="s">
        <v>1154</v>
      </c>
    </row>
    <row customHeight="1" ht="11.25">
      <c r="A31" s="381" t="s">
        <v>16</v>
      </c>
      <c r="B31" s="0" t="s">
        <v>3321</v>
      </c>
      <c r="C31" s="0" t="s">
        <v>3322</v>
      </c>
      <c r="D31" s="0" t="s">
        <v>3351</v>
      </c>
      <c r="E31" s="0" t="s">
        <v>3352</v>
      </c>
      <c r="F31" s="0" t="s">
        <v>3299</v>
      </c>
      <c r="G31" s="0" t="s">
        <v>1156</v>
      </c>
    </row>
    <row customHeight="1" ht="11.25">
      <c r="A32" s="381" t="s">
        <v>16</v>
      </c>
      <c r="B32" s="0" t="s">
        <v>3321</v>
      </c>
      <c r="C32" s="0" t="s">
        <v>3322</v>
      </c>
      <c r="D32" s="0" t="s">
        <v>3353</v>
      </c>
      <c r="E32" s="0" t="s">
        <v>3354</v>
      </c>
      <c r="F32" s="0" t="s">
        <v>3299</v>
      </c>
      <c r="G32" s="0" t="s">
        <v>1158</v>
      </c>
    </row>
    <row customHeight="1" ht="11.25">
      <c r="A33" s="381" t="s">
        <v>16</v>
      </c>
      <c r="B33" s="0" t="s">
        <v>3321</v>
      </c>
      <c r="C33" s="0" t="s">
        <v>3322</v>
      </c>
      <c r="D33" s="0" t="s">
        <v>3355</v>
      </c>
      <c r="E33" s="0" t="s">
        <v>3356</v>
      </c>
      <c r="F33" s="0" t="s">
        <v>3299</v>
      </c>
      <c r="G33" s="0" t="s">
        <v>1160</v>
      </c>
    </row>
    <row customHeight="1" ht="11.25">
      <c r="A34" s="381" t="s">
        <v>16</v>
      </c>
      <c r="B34" s="0" t="s">
        <v>3321</v>
      </c>
      <c r="C34" s="0" t="s">
        <v>3322</v>
      </c>
      <c r="D34" s="0" t="s">
        <v>3357</v>
      </c>
      <c r="E34" s="0" t="s">
        <v>3358</v>
      </c>
      <c r="F34" s="0" t="s">
        <v>3299</v>
      </c>
      <c r="G34" s="0" t="s">
        <v>1162</v>
      </c>
    </row>
    <row customHeight="1" ht="11.25">
      <c r="A35" s="381" t="s">
        <v>16</v>
      </c>
      <c r="B35" s="0" t="s">
        <v>3321</v>
      </c>
      <c r="C35" s="0" t="s">
        <v>3322</v>
      </c>
      <c r="D35" s="0" t="s">
        <v>3359</v>
      </c>
      <c r="E35" s="0" t="s">
        <v>3360</v>
      </c>
      <c r="F35" s="0" t="s">
        <v>3299</v>
      </c>
      <c r="G35" s="0" t="s">
        <v>1164</v>
      </c>
    </row>
    <row customHeight="1" ht="11.25">
      <c r="A36" s="381" t="s">
        <v>16</v>
      </c>
      <c r="B36" s="0" t="s">
        <v>3321</v>
      </c>
      <c r="C36" s="0" t="s">
        <v>3322</v>
      </c>
      <c r="D36" s="0" t="s">
        <v>3361</v>
      </c>
      <c r="E36" s="0" t="s">
        <v>3362</v>
      </c>
      <c r="F36" s="0" t="s">
        <v>3299</v>
      </c>
      <c r="G36" s="0" t="s">
        <v>1166</v>
      </c>
    </row>
    <row customHeight="1" ht="11.25">
      <c r="A37" s="381" t="s">
        <v>16</v>
      </c>
      <c r="B37" s="0" t="s">
        <v>3321</v>
      </c>
      <c r="C37" s="0" t="s">
        <v>3322</v>
      </c>
      <c r="D37" s="0" t="s">
        <v>3363</v>
      </c>
      <c r="E37" s="0" t="s">
        <v>3364</v>
      </c>
      <c r="F37" s="0" t="s">
        <v>3299</v>
      </c>
      <c r="G37" s="0" t="s">
        <v>1169</v>
      </c>
    </row>
    <row customHeight="1" ht="11.25">
      <c r="A38" s="381" t="s">
        <v>16</v>
      </c>
      <c r="B38" s="0" t="s">
        <v>3321</v>
      </c>
      <c r="C38" s="0" t="s">
        <v>3322</v>
      </c>
      <c r="D38" s="0" t="s">
        <v>3365</v>
      </c>
      <c r="E38" s="0" t="s">
        <v>3366</v>
      </c>
      <c r="F38" s="0" t="s">
        <v>3299</v>
      </c>
      <c r="G38" s="0" t="s">
        <v>1171</v>
      </c>
    </row>
    <row customHeight="1" ht="11.25">
      <c r="A39" s="381" t="s">
        <v>16</v>
      </c>
      <c r="B39" s="0" t="s">
        <v>3367</v>
      </c>
      <c r="C39" s="0" t="s">
        <v>3368</v>
      </c>
      <c r="D39" s="0" t="s">
        <v>3367</v>
      </c>
      <c r="E39" s="0" t="s">
        <v>3368</v>
      </c>
      <c r="F39" s="0" t="s">
        <v>3295</v>
      </c>
      <c r="G39" s="0" t="s">
        <v>1173</v>
      </c>
    </row>
    <row customHeight="1" ht="11.25">
      <c r="A40" s="381" t="s">
        <v>16</v>
      </c>
      <c r="B40" s="0" t="s">
        <v>3369</v>
      </c>
      <c r="C40" s="0" t="s">
        <v>3370</v>
      </c>
      <c r="D40" s="0" t="s">
        <v>3371</v>
      </c>
      <c r="E40" s="0" t="s">
        <v>3372</v>
      </c>
      <c r="F40" s="0" t="s">
        <v>3299</v>
      </c>
      <c r="G40" s="0" t="s">
        <v>1175</v>
      </c>
    </row>
    <row customHeight="1" ht="11.25">
      <c r="A41" s="381" t="s">
        <v>16</v>
      </c>
      <c r="B41" s="0" t="s">
        <v>3369</v>
      </c>
      <c r="C41" s="0" t="s">
        <v>3370</v>
      </c>
      <c r="D41" s="0" t="s">
        <v>3373</v>
      </c>
      <c r="E41" s="0" t="s">
        <v>3374</v>
      </c>
      <c r="F41" s="0" t="s">
        <v>3299</v>
      </c>
      <c r="G41" s="0" t="s">
        <v>1177</v>
      </c>
    </row>
    <row customHeight="1" ht="11.25">
      <c r="A42" s="381" t="s">
        <v>16</v>
      </c>
      <c r="B42" s="0" t="s">
        <v>3369</v>
      </c>
      <c r="C42" s="0" t="s">
        <v>3370</v>
      </c>
      <c r="D42" s="0" t="s">
        <v>3375</v>
      </c>
      <c r="E42" s="0" t="s">
        <v>3376</v>
      </c>
      <c r="F42" s="0" t="s">
        <v>3299</v>
      </c>
      <c r="G42" s="0" t="s">
        <v>1179</v>
      </c>
    </row>
    <row customHeight="1" ht="11.25">
      <c r="A43" s="381" t="s">
        <v>16</v>
      </c>
      <c r="B43" s="0" t="s">
        <v>3369</v>
      </c>
      <c r="C43" s="0" t="s">
        <v>3370</v>
      </c>
      <c r="D43" s="0" t="s">
        <v>3377</v>
      </c>
      <c r="E43" s="0" t="s">
        <v>3378</v>
      </c>
      <c r="F43" s="0" t="s">
        <v>3299</v>
      </c>
      <c r="G43" s="0" t="s">
        <v>1181</v>
      </c>
    </row>
    <row customHeight="1" ht="11.25">
      <c r="A44" s="381" t="s">
        <v>16</v>
      </c>
      <c r="B44" s="0" t="s">
        <v>3369</v>
      </c>
      <c r="C44" s="0" t="s">
        <v>3370</v>
      </c>
      <c r="D44" s="0" t="s">
        <v>3379</v>
      </c>
      <c r="E44" s="0" t="s">
        <v>3380</v>
      </c>
      <c r="F44" s="0" t="s">
        <v>3299</v>
      </c>
      <c r="G44" s="0" t="s">
        <v>1183</v>
      </c>
    </row>
    <row customHeight="1" ht="11.25">
      <c r="A45" s="381" t="s">
        <v>16</v>
      </c>
      <c r="B45" s="0" t="s">
        <v>3369</v>
      </c>
      <c r="C45" s="0" t="s">
        <v>3370</v>
      </c>
      <c r="D45" s="0" t="s">
        <v>3369</v>
      </c>
      <c r="E45" s="0" t="s">
        <v>3370</v>
      </c>
      <c r="F45" s="0" t="s">
        <v>3337</v>
      </c>
      <c r="G45" s="0" t="s">
        <v>1185</v>
      </c>
    </row>
    <row customHeight="1" ht="11.25">
      <c r="A46" s="381" t="s">
        <v>16</v>
      </c>
      <c r="B46" s="0" t="s">
        <v>3369</v>
      </c>
      <c r="C46" s="0" t="s">
        <v>3370</v>
      </c>
      <c r="D46" s="0" t="s">
        <v>3381</v>
      </c>
      <c r="E46" s="0" t="s">
        <v>3382</v>
      </c>
      <c r="F46" s="0" t="s">
        <v>3299</v>
      </c>
      <c r="G46" s="0" t="s">
        <v>1187</v>
      </c>
    </row>
    <row customHeight="1" ht="11.25">
      <c r="A47" s="381" t="s">
        <v>16</v>
      </c>
      <c r="B47" s="0" t="s">
        <v>3369</v>
      </c>
      <c r="C47" s="0" t="s">
        <v>3370</v>
      </c>
      <c r="D47" s="0" t="s">
        <v>3383</v>
      </c>
      <c r="E47" s="0" t="s">
        <v>3384</v>
      </c>
      <c r="F47" s="0" t="s">
        <v>3299</v>
      </c>
      <c r="G47" s="0" t="s">
        <v>1189</v>
      </c>
    </row>
    <row customHeight="1" ht="11.25">
      <c r="A48" s="381" t="s">
        <v>16</v>
      </c>
      <c r="B48" s="0" t="s">
        <v>3369</v>
      </c>
      <c r="C48" s="0" t="s">
        <v>3370</v>
      </c>
      <c r="D48" s="0" t="s">
        <v>3385</v>
      </c>
      <c r="E48" s="0" t="s">
        <v>3386</v>
      </c>
      <c r="F48" s="0" t="s">
        <v>3299</v>
      </c>
      <c r="G48" s="0" t="s">
        <v>1191</v>
      </c>
    </row>
    <row customHeight="1" ht="11.25">
      <c r="A49" s="381" t="s">
        <v>16</v>
      </c>
      <c r="B49" s="0" t="s">
        <v>3369</v>
      </c>
      <c r="C49" s="0" t="s">
        <v>3370</v>
      </c>
      <c r="D49" s="0" t="s">
        <v>3387</v>
      </c>
      <c r="E49" s="0" t="s">
        <v>3388</v>
      </c>
      <c r="F49" s="0" t="s">
        <v>3299</v>
      </c>
      <c r="G49" s="0" t="s">
        <v>1193</v>
      </c>
    </row>
    <row customHeight="1" ht="11.25">
      <c r="A50" s="381" t="s">
        <v>16</v>
      </c>
      <c r="B50" s="0" t="s">
        <v>3369</v>
      </c>
      <c r="C50" s="0" t="s">
        <v>3370</v>
      </c>
      <c r="D50" s="0" t="s">
        <v>3389</v>
      </c>
      <c r="E50" s="0" t="s">
        <v>3390</v>
      </c>
      <c r="F50" s="0" t="s">
        <v>3299</v>
      </c>
      <c r="G50" s="0" t="s">
        <v>1195</v>
      </c>
    </row>
    <row customHeight="1" ht="11.25">
      <c r="A51" s="381" t="s">
        <v>16</v>
      </c>
      <c r="B51" s="0" t="s">
        <v>3369</v>
      </c>
      <c r="C51" s="0" t="s">
        <v>3370</v>
      </c>
      <c r="D51" s="0" t="s">
        <v>3391</v>
      </c>
      <c r="E51" s="0" t="s">
        <v>3392</v>
      </c>
      <c r="F51" s="0" t="s">
        <v>3299</v>
      </c>
      <c r="G51" s="0" t="s">
        <v>1197</v>
      </c>
    </row>
    <row customHeight="1" ht="11.25">
      <c r="A52" s="381" t="s">
        <v>16</v>
      </c>
      <c r="B52" s="0" t="s">
        <v>3393</v>
      </c>
      <c r="C52" s="0" t="s">
        <v>3394</v>
      </c>
      <c r="D52" s="0" t="s">
        <v>3393</v>
      </c>
      <c r="E52" s="0" t="s">
        <v>3394</v>
      </c>
      <c r="F52" s="0" t="s">
        <v>3295</v>
      </c>
      <c r="G52" s="0" t="s">
        <v>1199</v>
      </c>
    </row>
    <row customHeight="1" ht="11.25">
      <c r="A53" s="381" t="s">
        <v>16</v>
      </c>
      <c r="B53" s="0" t="s">
        <v>3395</v>
      </c>
      <c r="C53" s="0" t="s">
        <v>3396</v>
      </c>
      <c r="D53" s="0" t="s">
        <v>3397</v>
      </c>
      <c r="E53" s="0" t="s">
        <v>3398</v>
      </c>
      <c r="F53" s="0" t="s">
        <v>3299</v>
      </c>
      <c r="G53" s="0" t="s">
        <v>1201</v>
      </c>
    </row>
    <row customHeight="1" ht="11.25">
      <c r="A54" s="381" t="s">
        <v>16</v>
      </c>
      <c r="B54" s="0" t="s">
        <v>3395</v>
      </c>
      <c r="C54" s="0" t="s">
        <v>3396</v>
      </c>
      <c r="D54" s="0" t="s">
        <v>3399</v>
      </c>
      <c r="E54" s="0" t="s">
        <v>3400</v>
      </c>
      <c r="F54" s="0" t="s">
        <v>3299</v>
      </c>
      <c r="G54" s="0" t="s">
        <v>1203</v>
      </c>
    </row>
    <row customHeight="1" ht="11.25">
      <c r="A55" s="381" t="s">
        <v>16</v>
      </c>
      <c r="B55" s="0" t="s">
        <v>3395</v>
      </c>
      <c r="C55" s="0" t="s">
        <v>3396</v>
      </c>
      <c r="D55" s="0" t="s">
        <v>3401</v>
      </c>
      <c r="E55" s="0" t="s">
        <v>3402</v>
      </c>
      <c r="F55" s="0" t="s">
        <v>3299</v>
      </c>
      <c r="G55" s="0" t="s">
        <v>1205</v>
      </c>
    </row>
    <row customHeight="1" ht="11.25">
      <c r="A56" s="381" t="s">
        <v>16</v>
      </c>
      <c r="B56" s="0" t="s">
        <v>3395</v>
      </c>
      <c r="C56" s="0" t="s">
        <v>3396</v>
      </c>
      <c r="D56" s="0" t="s">
        <v>3403</v>
      </c>
      <c r="E56" s="0" t="s">
        <v>3404</v>
      </c>
      <c r="F56" s="0" t="s">
        <v>3299</v>
      </c>
      <c r="G56" s="0" t="s">
        <v>1207</v>
      </c>
    </row>
    <row customHeight="1" ht="11.25">
      <c r="A57" s="381" t="s">
        <v>16</v>
      </c>
      <c r="B57" s="0" t="s">
        <v>3395</v>
      </c>
      <c r="C57" s="0" t="s">
        <v>3396</v>
      </c>
      <c r="D57" s="0" t="s">
        <v>3395</v>
      </c>
      <c r="E57" s="0" t="s">
        <v>3396</v>
      </c>
      <c r="F57" s="0" t="s">
        <v>3337</v>
      </c>
      <c r="G57" s="0" t="s">
        <v>1209</v>
      </c>
    </row>
    <row customHeight="1" ht="11.25">
      <c r="A58" s="381" t="s">
        <v>16</v>
      </c>
      <c r="B58" s="0" t="s">
        <v>3395</v>
      </c>
      <c r="C58" s="0" t="s">
        <v>3396</v>
      </c>
      <c r="D58" s="0" t="s">
        <v>3405</v>
      </c>
      <c r="E58" s="0" t="s">
        <v>3406</v>
      </c>
      <c r="F58" s="0" t="s">
        <v>3342</v>
      </c>
      <c r="G58" s="0" t="s">
        <v>1211</v>
      </c>
    </row>
    <row customHeight="1" ht="11.25">
      <c r="A59" s="381" t="s">
        <v>16</v>
      </c>
      <c r="B59" s="0" t="s">
        <v>3395</v>
      </c>
      <c r="C59" s="0" t="s">
        <v>3396</v>
      </c>
      <c r="D59" s="0" t="s">
        <v>3407</v>
      </c>
      <c r="E59" s="0" t="s">
        <v>3408</v>
      </c>
      <c r="F59" s="0" t="s">
        <v>3409</v>
      </c>
      <c r="G59" s="0" t="s">
        <v>1213</v>
      </c>
    </row>
    <row customHeight="1" ht="11.25">
      <c r="A60" s="381" t="s">
        <v>16</v>
      </c>
      <c r="B60" s="0" t="s">
        <v>3395</v>
      </c>
      <c r="C60" s="0" t="s">
        <v>3396</v>
      </c>
      <c r="D60" s="0" t="s">
        <v>3410</v>
      </c>
      <c r="E60" s="0" t="s">
        <v>3411</v>
      </c>
      <c r="F60" s="0" t="s">
        <v>3409</v>
      </c>
      <c r="G60" s="0" t="s">
        <v>1857</v>
      </c>
    </row>
    <row customHeight="1" ht="11.25">
      <c r="A61" s="381" t="s">
        <v>16</v>
      </c>
      <c r="B61" s="0" t="s">
        <v>3395</v>
      </c>
      <c r="C61" s="0" t="s">
        <v>3396</v>
      </c>
      <c r="D61" s="0" t="s">
        <v>3412</v>
      </c>
      <c r="E61" s="0" t="s">
        <v>3413</v>
      </c>
      <c r="F61" s="0" t="s">
        <v>3409</v>
      </c>
      <c r="G61" s="0" t="s">
        <v>3414</v>
      </c>
    </row>
    <row customHeight="1" ht="11.25">
      <c r="A62" s="381" t="s">
        <v>16</v>
      </c>
      <c r="B62" s="0" t="s">
        <v>3395</v>
      </c>
      <c r="C62" s="0" t="s">
        <v>3396</v>
      </c>
      <c r="D62" s="0" t="s">
        <v>3415</v>
      </c>
      <c r="E62" s="0" t="s">
        <v>3416</v>
      </c>
      <c r="F62" s="0" t="s">
        <v>3299</v>
      </c>
      <c r="G62" s="0" t="s">
        <v>3417</v>
      </c>
    </row>
    <row customHeight="1" ht="11.25">
      <c r="A63" s="381" t="s">
        <v>16</v>
      </c>
      <c r="B63" s="0" t="s">
        <v>3395</v>
      </c>
      <c r="C63" s="0" t="s">
        <v>3396</v>
      </c>
      <c r="D63" s="0" t="s">
        <v>3418</v>
      </c>
      <c r="E63" s="0" t="s">
        <v>3419</v>
      </c>
      <c r="F63" s="0" t="s">
        <v>3299</v>
      </c>
      <c r="G63" s="0" t="s">
        <v>3420</v>
      </c>
    </row>
    <row customHeight="1" ht="11.25">
      <c r="A64" s="381" t="s">
        <v>16</v>
      </c>
      <c r="B64" s="0" t="s">
        <v>3395</v>
      </c>
      <c r="C64" s="0" t="s">
        <v>3396</v>
      </c>
      <c r="D64" s="0" t="s">
        <v>3421</v>
      </c>
      <c r="E64" s="0" t="s">
        <v>3422</v>
      </c>
      <c r="F64" s="0" t="s">
        <v>3299</v>
      </c>
      <c r="G64" s="0" t="s">
        <v>3423</v>
      </c>
    </row>
    <row customHeight="1" ht="11.25">
      <c r="A65" s="381" t="s">
        <v>16</v>
      </c>
      <c r="B65" s="0" t="s">
        <v>3395</v>
      </c>
      <c r="C65" s="0" t="s">
        <v>3396</v>
      </c>
      <c r="D65" s="0" t="s">
        <v>3424</v>
      </c>
      <c r="E65" s="0" t="s">
        <v>3425</v>
      </c>
      <c r="F65" s="0" t="s">
        <v>3299</v>
      </c>
      <c r="G65" s="0" t="s">
        <v>3426</v>
      </c>
    </row>
    <row customHeight="1" ht="11.25">
      <c r="A66" s="381" t="s">
        <v>16</v>
      </c>
      <c r="B66" s="0" t="s">
        <v>3427</v>
      </c>
      <c r="C66" s="0" t="s">
        <v>3428</v>
      </c>
      <c r="D66" s="0" t="s">
        <v>3427</v>
      </c>
      <c r="E66" s="0" t="s">
        <v>3428</v>
      </c>
      <c r="F66" s="0" t="s">
        <v>3295</v>
      </c>
      <c r="G66" s="0" t="s">
        <v>3429</v>
      </c>
    </row>
    <row customHeight="1" ht="11.25">
      <c r="A67" s="381" t="s">
        <v>16</v>
      </c>
      <c r="B67" s="0" t="s">
        <v>3430</v>
      </c>
      <c r="C67" s="0" t="s">
        <v>3431</v>
      </c>
      <c r="D67" s="0" t="s">
        <v>3432</v>
      </c>
      <c r="E67" s="0" t="s">
        <v>3433</v>
      </c>
      <c r="F67" s="0" t="s">
        <v>3299</v>
      </c>
      <c r="G67" s="0" t="s">
        <v>2168</v>
      </c>
    </row>
    <row customHeight="1" ht="11.25">
      <c r="A68" s="381" t="s">
        <v>16</v>
      </c>
      <c r="B68" s="0" t="s">
        <v>3430</v>
      </c>
      <c r="C68" s="0" t="s">
        <v>3431</v>
      </c>
      <c r="D68" s="0" t="s">
        <v>3434</v>
      </c>
      <c r="E68" s="0" t="s">
        <v>3435</v>
      </c>
      <c r="F68" s="0" t="s">
        <v>3299</v>
      </c>
      <c r="G68" s="0" t="s">
        <v>3436</v>
      </c>
    </row>
    <row customHeight="1" ht="11.25">
      <c r="A69" s="381" t="s">
        <v>16</v>
      </c>
      <c r="B69" s="0" t="s">
        <v>3430</v>
      </c>
      <c r="C69" s="0" t="s">
        <v>3431</v>
      </c>
      <c r="D69" s="0" t="s">
        <v>3437</v>
      </c>
      <c r="E69" s="0" t="s">
        <v>3438</v>
      </c>
      <c r="F69" s="0" t="s">
        <v>3299</v>
      </c>
      <c r="G69" s="0" t="s">
        <v>2368</v>
      </c>
    </row>
    <row customHeight="1" ht="11.25">
      <c r="A70" s="381" t="s">
        <v>16</v>
      </c>
      <c r="B70" s="0" t="s">
        <v>3430</v>
      </c>
      <c r="C70" s="0" t="s">
        <v>3431</v>
      </c>
      <c r="D70" s="0" t="s">
        <v>3430</v>
      </c>
      <c r="E70" s="0" t="s">
        <v>3431</v>
      </c>
      <c r="F70" s="0" t="s">
        <v>3337</v>
      </c>
      <c r="G70" s="0" t="s">
        <v>3439</v>
      </c>
    </row>
    <row customHeight="1" ht="11.25">
      <c r="A71" s="381" t="s">
        <v>16</v>
      </c>
      <c r="B71" s="0" t="s">
        <v>3430</v>
      </c>
      <c r="C71" s="0" t="s">
        <v>3431</v>
      </c>
      <c r="D71" s="0" t="s">
        <v>3440</v>
      </c>
      <c r="E71" s="0" t="s">
        <v>3441</v>
      </c>
      <c r="F71" s="0" t="s">
        <v>3299</v>
      </c>
      <c r="G71" s="0" t="s">
        <v>3442</v>
      </c>
    </row>
    <row customHeight="1" ht="11.25">
      <c r="A72" s="381" t="s">
        <v>16</v>
      </c>
      <c r="B72" s="0" t="s">
        <v>3430</v>
      </c>
      <c r="C72" s="0" t="s">
        <v>3431</v>
      </c>
      <c r="D72" s="0" t="s">
        <v>3443</v>
      </c>
      <c r="E72" s="0" t="s">
        <v>3444</v>
      </c>
      <c r="F72" s="0" t="s">
        <v>3299</v>
      </c>
      <c r="G72" s="0" t="s">
        <v>3445</v>
      </c>
    </row>
    <row customHeight="1" ht="11.25">
      <c r="A73" s="381" t="s">
        <v>16</v>
      </c>
      <c r="B73" s="0" t="s">
        <v>3430</v>
      </c>
      <c r="C73" s="0" t="s">
        <v>3431</v>
      </c>
      <c r="D73" s="0" t="s">
        <v>3446</v>
      </c>
      <c r="E73" s="0" t="s">
        <v>3447</v>
      </c>
      <c r="F73" s="0" t="s">
        <v>3342</v>
      </c>
      <c r="G73" s="0" t="s">
        <v>3448</v>
      </c>
    </row>
    <row customHeight="1" ht="11.25">
      <c r="A74" s="381" t="s">
        <v>16</v>
      </c>
      <c r="B74" s="0" t="s">
        <v>3430</v>
      </c>
      <c r="C74" s="0" t="s">
        <v>3431</v>
      </c>
      <c r="D74" s="0" t="s">
        <v>3449</v>
      </c>
      <c r="E74" s="0" t="s">
        <v>3450</v>
      </c>
      <c r="F74" s="0" t="s">
        <v>3299</v>
      </c>
      <c r="G74" s="0" t="s">
        <v>3451</v>
      </c>
    </row>
    <row customHeight="1" ht="11.25">
      <c r="A75" s="381" t="s">
        <v>16</v>
      </c>
      <c r="B75" s="0" t="s">
        <v>3430</v>
      </c>
      <c r="C75" s="0" t="s">
        <v>3431</v>
      </c>
      <c r="D75" s="0" t="s">
        <v>3452</v>
      </c>
      <c r="E75" s="0" t="s">
        <v>3453</v>
      </c>
      <c r="F75" s="0" t="s">
        <v>3299</v>
      </c>
      <c r="G75" s="0" t="s">
        <v>3454</v>
      </c>
    </row>
    <row customHeight="1" ht="11.25">
      <c r="A76" s="381" t="s">
        <v>16</v>
      </c>
      <c r="B76" s="0" t="s">
        <v>3430</v>
      </c>
      <c r="C76" s="0" t="s">
        <v>3431</v>
      </c>
      <c r="D76" s="0" t="s">
        <v>3455</v>
      </c>
      <c r="E76" s="0" t="s">
        <v>3456</v>
      </c>
      <c r="F76" s="0" t="s">
        <v>3299</v>
      </c>
      <c r="G76" s="0" t="s">
        <v>3457</v>
      </c>
    </row>
    <row customHeight="1" ht="11.25">
      <c r="A77" s="381" t="s">
        <v>16</v>
      </c>
      <c r="B77" s="0" t="s">
        <v>3430</v>
      </c>
      <c r="C77" s="0" t="s">
        <v>3431</v>
      </c>
      <c r="D77" s="0" t="s">
        <v>3458</v>
      </c>
      <c r="E77" s="0" t="s">
        <v>3459</v>
      </c>
      <c r="F77" s="0" t="s">
        <v>3299</v>
      </c>
      <c r="G77" s="0" t="s">
        <v>3460</v>
      </c>
    </row>
    <row customHeight="1" ht="11.25">
      <c r="A78" s="381" t="s">
        <v>16</v>
      </c>
      <c r="B78" s="0" t="s">
        <v>3430</v>
      </c>
      <c r="C78" s="0" t="s">
        <v>3431</v>
      </c>
      <c r="D78" s="0" t="s">
        <v>3461</v>
      </c>
      <c r="E78" s="0" t="s">
        <v>3462</v>
      </c>
      <c r="F78" s="0" t="s">
        <v>3299</v>
      </c>
      <c r="G78" s="0" t="s">
        <v>3463</v>
      </c>
    </row>
    <row customHeight="1" ht="11.25">
      <c r="A79" s="381" t="s">
        <v>16</v>
      </c>
      <c r="B79" s="0" t="s">
        <v>3430</v>
      </c>
      <c r="C79" s="0" t="s">
        <v>3431</v>
      </c>
      <c r="D79" s="0" t="s">
        <v>3464</v>
      </c>
      <c r="E79" s="0" t="s">
        <v>3465</v>
      </c>
      <c r="F79" s="0" t="s">
        <v>3299</v>
      </c>
      <c r="G79" s="0" t="s">
        <v>3466</v>
      </c>
    </row>
    <row customHeight="1" ht="11.25">
      <c r="A80" s="381" t="s">
        <v>16</v>
      </c>
      <c r="B80" s="0" t="s">
        <v>3430</v>
      </c>
      <c r="C80" s="0" t="s">
        <v>3431</v>
      </c>
      <c r="D80" s="0" t="s">
        <v>3467</v>
      </c>
      <c r="E80" s="0" t="s">
        <v>3468</v>
      </c>
      <c r="F80" s="0" t="s">
        <v>3299</v>
      </c>
      <c r="G80" s="0" t="s">
        <v>3469</v>
      </c>
    </row>
    <row customHeight="1" ht="11.25">
      <c r="A81" s="381" t="s">
        <v>16</v>
      </c>
      <c r="B81" s="0" t="s">
        <v>3470</v>
      </c>
      <c r="C81" s="0" t="s">
        <v>3471</v>
      </c>
      <c r="D81" s="0" t="s">
        <v>3472</v>
      </c>
      <c r="E81" s="0" t="s">
        <v>3473</v>
      </c>
      <c r="F81" s="0" t="s">
        <v>3299</v>
      </c>
      <c r="G81" s="0" t="s">
        <v>3474</v>
      </c>
    </row>
    <row customHeight="1" ht="11.25">
      <c r="A82" s="381" t="s">
        <v>16</v>
      </c>
      <c r="B82" s="0" t="s">
        <v>3470</v>
      </c>
      <c r="C82" s="0" t="s">
        <v>3471</v>
      </c>
      <c r="D82" s="0" t="s">
        <v>3475</v>
      </c>
      <c r="E82" s="0" t="s">
        <v>3476</v>
      </c>
      <c r="F82" s="0" t="s">
        <v>3299</v>
      </c>
      <c r="G82" s="0" t="s">
        <v>3477</v>
      </c>
    </row>
    <row customHeight="1" ht="11.25">
      <c r="A83" s="381" t="s">
        <v>16</v>
      </c>
      <c r="B83" s="0" t="s">
        <v>3470</v>
      </c>
      <c r="C83" s="0" t="s">
        <v>3471</v>
      </c>
      <c r="D83" s="0" t="s">
        <v>3478</v>
      </c>
      <c r="E83" s="0" t="s">
        <v>3479</v>
      </c>
      <c r="F83" s="0" t="s">
        <v>3299</v>
      </c>
      <c r="G83" s="0" t="s">
        <v>3480</v>
      </c>
    </row>
    <row customHeight="1" ht="11.25">
      <c r="A84" s="381" t="s">
        <v>16</v>
      </c>
      <c r="B84" s="0" t="s">
        <v>3470</v>
      </c>
      <c r="C84" s="0" t="s">
        <v>3471</v>
      </c>
      <c r="D84" s="0" t="s">
        <v>3481</v>
      </c>
      <c r="E84" s="0" t="s">
        <v>3482</v>
      </c>
      <c r="F84" s="0" t="s">
        <v>3299</v>
      </c>
      <c r="G84" s="0" t="s">
        <v>3483</v>
      </c>
    </row>
    <row customHeight="1" ht="11.25">
      <c r="A85" s="381" t="s">
        <v>16</v>
      </c>
      <c r="B85" s="0" t="s">
        <v>3470</v>
      </c>
      <c r="C85" s="0" t="s">
        <v>3471</v>
      </c>
      <c r="D85" s="0" t="s">
        <v>3484</v>
      </c>
      <c r="E85" s="0" t="s">
        <v>3485</v>
      </c>
      <c r="F85" s="0" t="s">
        <v>3299</v>
      </c>
      <c r="G85" s="0" t="s">
        <v>3486</v>
      </c>
    </row>
    <row customHeight="1" ht="11.25">
      <c r="A86" s="381" t="s">
        <v>16</v>
      </c>
      <c r="B86" s="0" t="s">
        <v>3470</v>
      </c>
      <c r="C86" s="0" t="s">
        <v>3471</v>
      </c>
      <c r="D86" s="0" t="s">
        <v>3487</v>
      </c>
      <c r="E86" s="0" t="s">
        <v>3488</v>
      </c>
      <c r="F86" s="0" t="s">
        <v>3299</v>
      </c>
      <c r="G86" s="0" t="s">
        <v>3489</v>
      </c>
    </row>
    <row customHeight="1" ht="11.25">
      <c r="A87" s="381" t="s">
        <v>16</v>
      </c>
      <c r="B87" s="0" t="s">
        <v>3470</v>
      </c>
      <c r="C87" s="0" t="s">
        <v>3471</v>
      </c>
      <c r="D87" s="0" t="s">
        <v>3490</v>
      </c>
      <c r="E87" s="0" t="s">
        <v>3491</v>
      </c>
      <c r="F87" s="0" t="s">
        <v>3299</v>
      </c>
      <c r="G87" s="0" t="s">
        <v>3492</v>
      </c>
    </row>
    <row customHeight="1" ht="11.25">
      <c r="A88" s="381" t="s">
        <v>16</v>
      </c>
      <c r="B88" s="0" t="s">
        <v>3470</v>
      </c>
      <c r="C88" s="0" t="s">
        <v>3471</v>
      </c>
      <c r="D88" s="0" t="s">
        <v>3470</v>
      </c>
      <c r="E88" s="0" t="s">
        <v>3471</v>
      </c>
      <c r="F88" s="0" t="s">
        <v>3337</v>
      </c>
      <c r="G88" s="0" t="s">
        <v>3493</v>
      </c>
    </row>
    <row customHeight="1" ht="11.25">
      <c r="A89" s="381" t="s">
        <v>16</v>
      </c>
      <c r="B89" s="0" t="s">
        <v>3470</v>
      </c>
      <c r="C89" s="0" t="s">
        <v>3471</v>
      </c>
      <c r="D89" s="0" t="s">
        <v>3494</v>
      </c>
      <c r="E89" s="0" t="s">
        <v>3495</v>
      </c>
      <c r="F89" s="0" t="s">
        <v>3299</v>
      </c>
      <c r="G89" s="0" t="s">
        <v>3496</v>
      </c>
    </row>
    <row customHeight="1" ht="11.25">
      <c r="A90" s="381" t="s">
        <v>16</v>
      </c>
      <c r="B90" s="0" t="s">
        <v>3470</v>
      </c>
      <c r="C90" s="0" t="s">
        <v>3471</v>
      </c>
      <c r="D90" s="0" t="s">
        <v>3497</v>
      </c>
      <c r="E90" s="0" t="s">
        <v>3498</v>
      </c>
      <c r="F90" s="0" t="s">
        <v>3299</v>
      </c>
      <c r="G90" s="0" t="s">
        <v>3499</v>
      </c>
    </row>
    <row customHeight="1" ht="11.25">
      <c r="A91" s="381" t="s">
        <v>16</v>
      </c>
      <c r="B91" s="0" t="s">
        <v>3470</v>
      </c>
      <c r="C91" s="0" t="s">
        <v>3471</v>
      </c>
      <c r="D91" s="0" t="s">
        <v>3500</v>
      </c>
      <c r="E91" s="0" t="s">
        <v>3501</v>
      </c>
      <c r="F91" s="0" t="s">
        <v>3299</v>
      </c>
      <c r="G91" s="0" t="s">
        <v>3502</v>
      </c>
    </row>
    <row customHeight="1" ht="11.25">
      <c r="A92" s="381" t="s">
        <v>16</v>
      </c>
      <c r="B92" s="0" t="s">
        <v>3470</v>
      </c>
      <c r="C92" s="0" t="s">
        <v>3471</v>
      </c>
      <c r="D92" s="0" t="s">
        <v>3503</v>
      </c>
      <c r="E92" s="0" t="s">
        <v>3504</v>
      </c>
      <c r="F92" s="0" t="s">
        <v>3299</v>
      </c>
      <c r="G92" s="0" t="s">
        <v>3505</v>
      </c>
    </row>
    <row customHeight="1" ht="11.25">
      <c r="A93" s="381" t="s">
        <v>16</v>
      </c>
      <c r="B93" s="0" t="s">
        <v>3506</v>
      </c>
      <c r="C93" s="0" t="s">
        <v>3507</v>
      </c>
      <c r="D93" s="0" t="s">
        <v>3508</v>
      </c>
      <c r="E93" s="0" t="s">
        <v>3509</v>
      </c>
      <c r="F93" s="0" t="s">
        <v>3299</v>
      </c>
      <c r="G93" s="0" t="s">
        <v>3510</v>
      </c>
    </row>
    <row customHeight="1" ht="11.25">
      <c r="A94" s="381" t="s">
        <v>16</v>
      </c>
      <c r="B94" s="0" t="s">
        <v>3506</v>
      </c>
      <c r="C94" s="0" t="s">
        <v>3507</v>
      </c>
      <c r="D94" s="0" t="s">
        <v>3511</v>
      </c>
      <c r="E94" s="0" t="s">
        <v>3512</v>
      </c>
      <c r="F94" s="0" t="s">
        <v>3299</v>
      </c>
      <c r="G94" s="0" t="s">
        <v>3513</v>
      </c>
    </row>
    <row customHeight="1" ht="11.25">
      <c r="A95" s="381" t="s">
        <v>16</v>
      </c>
      <c r="B95" s="0" t="s">
        <v>3506</v>
      </c>
      <c r="C95" s="0" t="s">
        <v>3507</v>
      </c>
      <c r="D95" s="0" t="s">
        <v>3514</v>
      </c>
      <c r="E95" s="0" t="s">
        <v>3515</v>
      </c>
      <c r="F95" s="0" t="s">
        <v>3299</v>
      </c>
      <c r="G95" s="0" t="s">
        <v>3516</v>
      </c>
    </row>
    <row customHeight="1" ht="11.25">
      <c r="A96" s="381" t="s">
        <v>16</v>
      </c>
      <c r="B96" s="0" t="s">
        <v>3506</v>
      </c>
      <c r="C96" s="0" t="s">
        <v>3507</v>
      </c>
      <c r="D96" s="0" t="s">
        <v>3517</v>
      </c>
      <c r="E96" s="0" t="s">
        <v>3518</v>
      </c>
      <c r="F96" s="0" t="s">
        <v>3299</v>
      </c>
      <c r="G96" s="0" t="s">
        <v>3519</v>
      </c>
    </row>
    <row customHeight="1" ht="11.25">
      <c r="A97" s="381" t="s">
        <v>16</v>
      </c>
      <c r="B97" s="0" t="s">
        <v>3506</v>
      </c>
      <c r="C97" s="0" t="s">
        <v>3507</v>
      </c>
      <c r="D97" s="0" t="s">
        <v>3520</v>
      </c>
      <c r="E97" s="0" t="s">
        <v>3521</v>
      </c>
      <c r="F97" s="0" t="s">
        <v>3299</v>
      </c>
      <c r="G97" s="0" t="s">
        <v>3522</v>
      </c>
    </row>
    <row customHeight="1" ht="11.25">
      <c r="A98" s="381" t="s">
        <v>16</v>
      </c>
      <c r="B98" s="0" t="s">
        <v>3506</v>
      </c>
      <c r="C98" s="0" t="s">
        <v>3507</v>
      </c>
      <c r="D98" s="0" t="s">
        <v>3523</v>
      </c>
      <c r="E98" s="0" t="s">
        <v>3524</v>
      </c>
      <c r="F98" s="0" t="s">
        <v>3299</v>
      </c>
      <c r="G98" s="0" t="s">
        <v>3525</v>
      </c>
    </row>
    <row customHeight="1" ht="11.25">
      <c r="A99" s="381" t="s">
        <v>16</v>
      </c>
      <c r="B99" s="0" t="s">
        <v>3506</v>
      </c>
      <c r="C99" s="0" t="s">
        <v>3507</v>
      </c>
      <c r="D99" s="0" t="s">
        <v>3526</v>
      </c>
      <c r="E99" s="0" t="s">
        <v>3527</v>
      </c>
      <c r="F99" s="0" t="s">
        <v>3299</v>
      </c>
      <c r="G99" s="0" t="s">
        <v>3528</v>
      </c>
    </row>
    <row customHeight="1" ht="11.25">
      <c r="A100" s="381" t="s">
        <v>16</v>
      </c>
      <c r="B100" s="0" t="s">
        <v>3506</v>
      </c>
      <c r="C100" s="0" t="s">
        <v>3507</v>
      </c>
      <c r="D100" s="0" t="s">
        <v>3529</v>
      </c>
      <c r="E100" s="0" t="s">
        <v>3530</v>
      </c>
      <c r="F100" s="0" t="s">
        <v>3299</v>
      </c>
      <c r="G100" s="0" t="s">
        <v>3531</v>
      </c>
    </row>
    <row customHeight="1" ht="11.25">
      <c r="A101" s="381" t="s">
        <v>16</v>
      </c>
      <c r="B101" s="0" t="s">
        <v>3506</v>
      </c>
      <c r="C101" s="0" t="s">
        <v>3507</v>
      </c>
      <c r="D101" s="0" t="s">
        <v>3532</v>
      </c>
      <c r="E101" s="0" t="s">
        <v>3533</v>
      </c>
      <c r="F101" s="0" t="s">
        <v>3299</v>
      </c>
      <c r="G101" s="0" t="s">
        <v>3534</v>
      </c>
    </row>
    <row customHeight="1" ht="11.25">
      <c r="A102" s="381" t="s">
        <v>16</v>
      </c>
      <c r="B102" s="0" t="s">
        <v>3506</v>
      </c>
      <c r="C102" s="0" t="s">
        <v>3507</v>
      </c>
      <c r="D102" s="0" t="s">
        <v>3506</v>
      </c>
      <c r="E102" s="0" t="s">
        <v>3507</v>
      </c>
      <c r="F102" s="0" t="s">
        <v>3337</v>
      </c>
      <c r="G102" s="0" t="s">
        <v>3535</v>
      </c>
    </row>
    <row customHeight="1" ht="11.25">
      <c r="A103" s="381" t="s">
        <v>16</v>
      </c>
      <c r="B103" s="0" t="s">
        <v>3506</v>
      </c>
      <c r="C103" s="0" t="s">
        <v>3507</v>
      </c>
      <c r="D103" s="0" t="s">
        <v>3536</v>
      </c>
      <c r="E103" s="0" t="s">
        <v>3537</v>
      </c>
      <c r="F103" s="0" t="s">
        <v>3299</v>
      </c>
      <c r="G103" s="0" t="s">
        <v>3538</v>
      </c>
    </row>
    <row customHeight="1" ht="11.25">
      <c r="A104" s="381" t="s">
        <v>16</v>
      </c>
      <c r="B104" s="0" t="s">
        <v>3506</v>
      </c>
      <c r="C104" s="0" t="s">
        <v>3507</v>
      </c>
      <c r="D104" s="0" t="s">
        <v>3539</v>
      </c>
      <c r="E104" s="0" t="s">
        <v>3540</v>
      </c>
      <c r="F104" s="0" t="s">
        <v>3299</v>
      </c>
      <c r="G104" s="0" t="s">
        <v>3541</v>
      </c>
    </row>
    <row customHeight="1" ht="11.25">
      <c r="A105" s="381" t="s">
        <v>16</v>
      </c>
      <c r="B105" s="0" t="s">
        <v>3506</v>
      </c>
      <c r="C105" s="0" t="s">
        <v>3507</v>
      </c>
      <c r="D105" s="0" t="s">
        <v>3542</v>
      </c>
      <c r="E105" s="0" t="s">
        <v>3543</v>
      </c>
      <c r="F105" s="0" t="s">
        <v>3299</v>
      </c>
      <c r="G105" s="0" t="s">
        <v>3544</v>
      </c>
    </row>
    <row customHeight="1" ht="11.25">
      <c r="A106" s="381" t="s">
        <v>16</v>
      </c>
      <c r="B106" s="0" t="s">
        <v>3506</v>
      </c>
      <c r="C106" s="0" t="s">
        <v>3507</v>
      </c>
      <c r="D106" s="0" t="s">
        <v>3545</v>
      </c>
      <c r="E106" s="0" t="s">
        <v>3546</v>
      </c>
      <c r="F106" s="0" t="s">
        <v>3299</v>
      </c>
      <c r="G106" s="0" t="s">
        <v>3547</v>
      </c>
    </row>
    <row customHeight="1" ht="11.25">
      <c r="A107" s="381" t="s">
        <v>16</v>
      </c>
      <c r="B107" s="0" t="s">
        <v>106</v>
      </c>
      <c r="C107" s="0" t="s">
        <v>107</v>
      </c>
      <c r="D107" s="0" t="s">
        <v>106</v>
      </c>
      <c r="E107" s="0" t="s">
        <v>107</v>
      </c>
      <c r="F107" s="0" t="s">
        <v>3304</v>
      </c>
      <c r="G107" s="0" t="s">
        <v>105</v>
      </c>
    </row>
    <row customHeight="1" ht="11.25">
      <c r="A108" s="381" t="s">
        <v>16</v>
      </c>
      <c r="B108" s="0" t="s">
        <v>3548</v>
      </c>
      <c r="C108" s="0" t="s">
        <v>3549</v>
      </c>
      <c r="D108" s="0" t="s">
        <v>3548</v>
      </c>
      <c r="E108" s="0" t="s">
        <v>3549</v>
      </c>
      <c r="F108" s="0" t="s">
        <v>3295</v>
      </c>
      <c r="G108" s="0" t="s">
        <v>3550</v>
      </c>
    </row>
    <row customHeight="1" ht="11.25">
      <c r="A109" s="381" t="s">
        <v>16</v>
      </c>
      <c r="B109" s="0" t="s">
        <v>3551</v>
      </c>
      <c r="C109" s="0" t="s">
        <v>3552</v>
      </c>
      <c r="D109" s="0" t="s">
        <v>3434</v>
      </c>
      <c r="E109" s="0" t="s">
        <v>3553</v>
      </c>
      <c r="F109" s="0" t="s">
        <v>3299</v>
      </c>
      <c r="G109" s="0" t="s">
        <v>3554</v>
      </c>
    </row>
    <row customHeight="1" ht="11.25">
      <c r="A110" s="381" t="s">
        <v>16</v>
      </c>
      <c r="B110" s="0" t="s">
        <v>3551</v>
      </c>
      <c r="C110" s="0" t="s">
        <v>3552</v>
      </c>
      <c r="D110" s="0" t="s">
        <v>3555</v>
      </c>
      <c r="E110" s="0" t="s">
        <v>3556</v>
      </c>
      <c r="F110" s="0" t="s">
        <v>3299</v>
      </c>
      <c r="G110" s="0" t="s">
        <v>3557</v>
      </c>
    </row>
    <row customHeight="1" ht="11.25">
      <c r="A111" s="381" t="s">
        <v>16</v>
      </c>
      <c r="B111" s="0" t="s">
        <v>3551</v>
      </c>
      <c r="C111" s="0" t="s">
        <v>3552</v>
      </c>
      <c r="D111" s="0" t="s">
        <v>3558</v>
      </c>
      <c r="E111" s="0" t="s">
        <v>3559</v>
      </c>
      <c r="F111" s="0" t="s">
        <v>3299</v>
      </c>
      <c r="G111" s="0" t="s">
        <v>3560</v>
      </c>
    </row>
    <row customHeight="1" ht="11.25">
      <c r="A112" s="381" t="s">
        <v>16</v>
      </c>
      <c r="B112" s="0" t="s">
        <v>3551</v>
      </c>
      <c r="C112" s="0" t="s">
        <v>3552</v>
      </c>
      <c r="D112" s="0" t="s">
        <v>3561</v>
      </c>
      <c r="E112" s="0" t="s">
        <v>3562</v>
      </c>
      <c r="F112" s="0" t="s">
        <v>3299</v>
      </c>
      <c r="G112" s="0" t="s">
        <v>633</v>
      </c>
    </row>
    <row customHeight="1" ht="11.25">
      <c r="A113" s="381" t="s">
        <v>16</v>
      </c>
      <c r="B113" s="0" t="s">
        <v>3551</v>
      </c>
      <c r="C113" s="0" t="s">
        <v>3552</v>
      </c>
      <c r="D113" s="0" t="s">
        <v>3563</v>
      </c>
      <c r="E113" s="0" t="s">
        <v>3564</v>
      </c>
      <c r="F113" s="0" t="s">
        <v>3299</v>
      </c>
      <c r="G113" s="0" t="s">
        <v>3565</v>
      </c>
    </row>
    <row customHeight="1" ht="11.25">
      <c r="A114" s="381" t="s">
        <v>16</v>
      </c>
      <c r="B114" s="0" t="s">
        <v>3551</v>
      </c>
      <c r="C114" s="0" t="s">
        <v>3552</v>
      </c>
      <c r="D114" s="0" t="s">
        <v>3566</v>
      </c>
      <c r="E114" s="0" t="s">
        <v>3567</v>
      </c>
      <c r="F114" s="0" t="s">
        <v>3299</v>
      </c>
      <c r="G114" s="0" t="s">
        <v>3568</v>
      </c>
    </row>
    <row customHeight="1" ht="11.25">
      <c r="A115" s="381" t="s">
        <v>16</v>
      </c>
      <c r="B115" s="0" t="s">
        <v>3551</v>
      </c>
      <c r="C115" s="0" t="s">
        <v>3552</v>
      </c>
      <c r="D115" s="0" t="s">
        <v>3569</v>
      </c>
      <c r="E115" s="0" t="s">
        <v>3570</v>
      </c>
      <c r="F115" s="0" t="s">
        <v>3299</v>
      </c>
      <c r="G115" s="0" t="s">
        <v>3571</v>
      </c>
    </row>
    <row customHeight="1" ht="11.25">
      <c r="A116" s="381" t="s">
        <v>16</v>
      </c>
      <c r="B116" s="0" t="s">
        <v>3551</v>
      </c>
      <c r="C116" s="0" t="s">
        <v>3552</v>
      </c>
      <c r="D116" s="0" t="s">
        <v>3572</v>
      </c>
      <c r="E116" s="0" t="s">
        <v>3573</v>
      </c>
      <c r="F116" s="0" t="s">
        <v>3299</v>
      </c>
      <c r="G116" s="0" t="s">
        <v>3574</v>
      </c>
    </row>
    <row customHeight="1" ht="11.25">
      <c r="A117" s="381" t="s">
        <v>16</v>
      </c>
      <c r="B117" s="0" t="s">
        <v>3551</v>
      </c>
      <c r="C117" s="0" t="s">
        <v>3552</v>
      </c>
      <c r="D117" s="0" t="s">
        <v>3575</v>
      </c>
      <c r="E117" s="0" t="s">
        <v>3576</v>
      </c>
      <c r="F117" s="0" t="s">
        <v>3299</v>
      </c>
      <c r="G117" s="0" t="s">
        <v>3577</v>
      </c>
    </row>
    <row customHeight="1" ht="11.25">
      <c r="A118" s="381" t="s">
        <v>16</v>
      </c>
      <c r="B118" s="0" t="s">
        <v>3551</v>
      </c>
      <c r="C118" s="0" t="s">
        <v>3552</v>
      </c>
      <c r="D118" s="0" t="s">
        <v>3578</v>
      </c>
      <c r="E118" s="0" t="s">
        <v>3579</v>
      </c>
      <c r="F118" s="0" t="s">
        <v>3299</v>
      </c>
      <c r="G118" s="0" t="s">
        <v>3580</v>
      </c>
    </row>
    <row customHeight="1" ht="11.25">
      <c r="A119" s="381" t="s">
        <v>16</v>
      </c>
      <c r="B119" s="0" t="s">
        <v>3551</v>
      </c>
      <c r="C119" s="0" t="s">
        <v>3552</v>
      </c>
      <c r="D119" s="0" t="s">
        <v>3581</v>
      </c>
      <c r="E119" s="0" t="s">
        <v>3582</v>
      </c>
      <c r="F119" s="0" t="s">
        <v>3299</v>
      </c>
      <c r="G119" s="0" t="s">
        <v>3583</v>
      </c>
    </row>
    <row customHeight="1" ht="11.25">
      <c r="A120" s="381" t="s">
        <v>16</v>
      </c>
      <c r="B120" s="0" t="s">
        <v>3551</v>
      </c>
      <c r="C120" s="0" t="s">
        <v>3552</v>
      </c>
      <c r="D120" s="0" t="s">
        <v>3584</v>
      </c>
      <c r="E120" s="0" t="s">
        <v>3585</v>
      </c>
      <c r="F120" s="0" t="s">
        <v>3299</v>
      </c>
      <c r="G120" s="0" t="s">
        <v>3586</v>
      </c>
    </row>
    <row customHeight="1" ht="11.25">
      <c r="A121" s="381" t="s">
        <v>16</v>
      </c>
      <c r="B121" s="0" t="s">
        <v>3551</v>
      </c>
      <c r="C121" s="0" t="s">
        <v>3552</v>
      </c>
      <c r="D121" s="0" t="s">
        <v>3551</v>
      </c>
      <c r="E121" s="0" t="s">
        <v>3552</v>
      </c>
      <c r="F121" s="0" t="s">
        <v>3337</v>
      </c>
      <c r="G121" s="0" t="s">
        <v>3587</v>
      </c>
    </row>
    <row customHeight="1" ht="11.25">
      <c r="A122" s="381" t="s">
        <v>16</v>
      </c>
      <c r="B122" s="0" t="s">
        <v>3551</v>
      </c>
      <c r="C122" s="0" t="s">
        <v>3552</v>
      </c>
      <c r="D122" s="0" t="s">
        <v>3588</v>
      </c>
      <c r="E122" s="0" t="s">
        <v>3589</v>
      </c>
      <c r="F122" s="0" t="s">
        <v>3299</v>
      </c>
      <c r="G122" s="0" t="s">
        <v>3590</v>
      </c>
    </row>
    <row customHeight="1" ht="11.25">
      <c r="A123" s="381" t="s">
        <v>16</v>
      </c>
      <c r="B123" s="0" t="s">
        <v>3551</v>
      </c>
      <c r="C123" s="0" t="s">
        <v>3552</v>
      </c>
      <c r="D123" s="0" t="s">
        <v>3591</v>
      </c>
      <c r="E123" s="0" t="s">
        <v>3592</v>
      </c>
      <c r="F123" s="0" t="s">
        <v>3299</v>
      </c>
      <c r="G123" s="0" t="s">
        <v>3593</v>
      </c>
    </row>
    <row customHeight="1" ht="11.25">
      <c r="A124" s="381" t="s">
        <v>16</v>
      </c>
      <c r="B124" s="0" t="s">
        <v>3551</v>
      </c>
      <c r="C124" s="0" t="s">
        <v>3552</v>
      </c>
      <c r="D124" s="0" t="s">
        <v>3594</v>
      </c>
      <c r="E124" s="0" t="s">
        <v>3595</v>
      </c>
      <c r="F124" s="0" t="s">
        <v>3299</v>
      </c>
      <c r="G124" s="0" t="s">
        <v>3596</v>
      </c>
    </row>
    <row customHeight="1" ht="11.25">
      <c r="A125" s="381" t="s">
        <v>16</v>
      </c>
      <c r="B125" s="0" t="s">
        <v>3597</v>
      </c>
      <c r="C125" s="0" t="s">
        <v>3598</v>
      </c>
      <c r="D125" s="0" t="s">
        <v>3599</v>
      </c>
      <c r="E125" s="0" t="s">
        <v>3600</v>
      </c>
      <c r="F125" s="0" t="s">
        <v>3299</v>
      </c>
      <c r="G125" s="0" t="s">
        <v>3601</v>
      </c>
    </row>
    <row customHeight="1" ht="11.25">
      <c r="A126" s="381" t="s">
        <v>16</v>
      </c>
      <c r="B126" s="0" t="s">
        <v>3597</v>
      </c>
      <c r="C126" s="0" t="s">
        <v>3598</v>
      </c>
      <c r="D126" s="0" t="s">
        <v>3338</v>
      </c>
      <c r="E126" s="0" t="s">
        <v>3602</v>
      </c>
      <c r="F126" s="0" t="s">
        <v>3299</v>
      </c>
      <c r="G126" s="0" t="s">
        <v>3603</v>
      </c>
    </row>
    <row customHeight="1" ht="11.25">
      <c r="A127" s="381" t="s">
        <v>16</v>
      </c>
      <c r="B127" s="0" t="s">
        <v>3597</v>
      </c>
      <c r="C127" s="0" t="s">
        <v>3598</v>
      </c>
      <c r="D127" s="0" t="s">
        <v>3604</v>
      </c>
      <c r="E127" s="0" t="s">
        <v>3605</v>
      </c>
      <c r="F127" s="0" t="s">
        <v>3299</v>
      </c>
      <c r="G127" s="0" t="s">
        <v>3606</v>
      </c>
    </row>
    <row customHeight="1" ht="11.25">
      <c r="A128" s="381" t="s">
        <v>16</v>
      </c>
      <c r="B128" s="0" t="s">
        <v>3597</v>
      </c>
      <c r="C128" s="0" t="s">
        <v>3598</v>
      </c>
      <c r="D128" s="0" t="s">
        <v>3607</v>
      </c>
      <c r="E128" s="0" t="s">
        <v>3608</v>
      </c>
      <c r="F128" s="0" t="s">
        <v>3299</v>
      </c>
      <c r="G128" s="0" t="s">
        <v>3609</v>
      </c>
    </row>
    <row customHeight="1" ht="11.25">
      <c r="A129" s="381" t="s">
        <v>16</v>
      </c>
      <c r="B129" s="0" t="s">
        <v>3597</v>
      </c>
      <c r="C129" s="0" t="s">
        <v>3598</v>
      </c>
      <c r="D129" s="0" t="s">
        <v>3610</v>
      </c>
      <c r="E129" s="0" t="s">
        <v>3611</v>
      </c>
      <c r="F129" s="0" t="s">
        <v>3342</v>
      </c>
      <c r="G129" s="0" t="s">
        <v>3612</v>
      </c>
    </row>
    <row customHeight="1" ht="11.25">
      <c r="A130" s="381" t="s">
        <v>16</v>
      </c>
      <c r="B130" s="0" t="s">
        <v>3597</v>
      </c>
      <c r="C130" s="0" t="s">
        <v>3598</v>
      </c>
      <c r="D130" s="0" t="s">
        <v>3613</v>
      </c>
      <c r="E130" s="0" t="s">
        <v>3614</v>
      </c>
      <c r="F130" s="0" t="s">
        <v>3299</v>
      </c>
      <c r="G130" s="0" t="s">
        <v>3615</v>
      </c>
    </row>
    <row customHeight="1" ht="11.25">
      <c r="A131" s="381" t="s">
        <v>16</v>
      </c>
      <c r="B131" s="0" t="s">
        <v>3597</v>
      </c>
      <c r="C131" s="0" t="s">
        <v>3598</v>
      </c>
      <c r="D131" s="0" t="s">
        <v>3616</v>
      </c>
      <c r="E131" s="0" t="s">
        <v>3617</v>
      </c>
      <c r="F131" s="0" t="s">
        <v>3299</v>
      </c>
      <c r="G131" s="0" t="s">
        <v>3618</v>
      </c>
    </row>
    <row customHeight="1" ht="11.25">
      <c r="A132" s="381" t="s">
        <v>16</v>
      </c>
      <c r="B132" s="0" t="s">
        <v>3597</v>
      </c>
      <c r="C132" s="0" t="s">
        <v>3598</v>
      </c>
      <c r="D132" s="0" t="s">
        <v>3619</v>
      </c>
      <c r="E132" s="0" t="s">
        <v>3620</v>
      </c>
      <c r="F132" s="0" t="s">
        <v>3409</v>
      </c>
      <c r="G132" s="0" t="s">
        <v>3621</v>
      </c>
    </row>
    <row customHeight="1" ht="11.25">
      <c r="A133" s="381" t="s">
        <v>16</v>
      </c>
      <c r="B133" s="0" t="s">
        <v>3597</v>
      </c>
      <c r="C133" s="0" t="s">
        <v>3598</v>
      </c>
      <c r="D133" s="0" t="s">
        <v>3622</v>
      </c>
      <c r="E133" s="0" t="s">
        <v>3623</v>
      </c>
      <c r="F133" s="0" t="s">
        <v>3409</v>
      </c>
      <c r="G133" s="0" t="s">
        <v>3624</v>
      </c>
    </row>
    <row customHeight="1" ht="11.25">
      <c r="A134" s="381" t="s">
        <v>16</v>
      </c>
      <c r="B134" s="0" t="s">
        <v>3597</v>
      </c>
      <c r="C134" s="0" t="s">
        <v>3598</v>
      </c>
      <c r="D134" s="0" t="s">
        <v>3625</v>
      </c>
      <c r="E134" s="0" t="s">
        <v>3626</v>
      </c>
      <c r="F134" s="0" t="s">
        <v>3409</v>
      </c>
      <c r="G134" s="0" t="s">
        <v>3627</v>
      </c>
    </row>
    <row customHeight="1" ht="11.25">
      <c r="A135" s="381" t="s">
        <v>16</v>
      </c>
      <c r="B135" s="0" t="s">
        <v>3597</v>
      </c>
      <c r="C135" s="0" t="s">
        <v>3598</v>
      </c>
      <c r="D135" s="0" t="s">
        <v>3597</v>
      </c>
      <c r="E135" s="0" t="s">
        <v>3598</v>
      </c>
      <c r="F135" s="0" t="s">
        <v>3337</v>
      </c>
      <c r="G135" s="0" t="s">
        <v>3628</v>
      </c>
    </row>
    <row customHeight="1" ht="11.25">
      <c r="A136" s="381" t="s">
        <v>16</v>
      </c>
      <c r="B136" s="0" t="s">
        <v>3597</v>
      </c>
      <c r="C136" s="0" t="s">
        <v>3598</v>
      </c>
      <c r="D136" s="0" t="s">
        <v>3629</v>
      </c>
      <c r="E136" s="0" t="s">
        <v>3630</v>
      </c>
      <c r="F136" s="0" t="s">
        <v>3299</v>
      </c>
      <c r="G136" s="0" t="s">
        <v>3631</v>
      </c>
    </row>
    <row customHeight="1" ht="11.25">
      <c r="A137" s="381" t="s">
        <v>16</v>
      </c>
      <c r="B137" s="0" t="s">
        <v>3632</v>
      </c>
      <c r="C137" s="0" t="s">
        <v>3633</v>
      </c>
      <c r="D137" s="0" t="s">
        <v>3632</v>
      </c>
      <c r="E137" s="0" t="s">
        <v>3633</v>
      </c>
      <c r="F137" s="0" t="s">
        <v>3295</v>
      </c>
      <c r="G137" s="0" t="s">
        <v>3634</v>
      </c>
    </row>
    <row customHeight="1" ht="11.25">
      <c r="A138" s="381" t="s">
        <v>16</v>
      </c>
      <c r="B138" s="0" t="s">
        <v>3635</v>
      </c>
      <c r="C138" s="0" t="s">
        <v>3636</v>
      </c>
      <c r="D138" s="0" t="s">
        <v>3635</v>
      </c>
      <c r="E138" s="0" t="s">
        <v>3636</v>
      </c>
      <c r="F138" s="0" t="s">
        <v>3295</v>
      </c>
      <c r="G138" s="0" t="s">
        <v>3637</v>
      </c>
    </row>
    <row customHeight="1" ht="11.25">
      <c r="A139" s="381" t="s">
        <v>16</v>
      </c>
      <c r="B139" s="0" t="s">
        <v>3638</v>
      </c>
      <c r="C139" s="0" t="s">
        <v>3639</v>
      </c>
      <c r="D139" s="0" t="s">
        <v>3638</v>
      </c>
      <c r="E139" s="0" t="s">
        <v>3639</v>
      </c>
      <c r="F139" s="0" t="s">
        <v>3295</v>
      </c>
      <c r="G139" s="0" t="s">
        <v>3640</v>
      </c>
    </row>
    <row customHeight="1" ht="11.25">
      <c r="A140" s="381" t="s">
        <v>16</v>
      </c>
      <c r="B140" s="0" t="s">
        <v>3641</v>
      </c>
      <c r="C140" s="0" t="s">
        <v>3642</v>
      </c>
      <c r="D140" s="0" t="s">
        <v>3641</v>
      </c>
      <c r="E140" s="0" t="s">
        <v>3642</v>
      </c>
      <c r="F140" s="0" t="s">
        <v>3295</v>
      </c>
      <c r="G140" s="0" t="s">
        <v>3643</v>
      </c>
    </row>
    <row customHeight="1" ht="11.25">
      <c r="A141" s="381" t="s">
        <v>16</v>
      </c>
      <c r="B141" s="0" t="s">
        <v>3644</v>
      </c>
      <c r="C141" s="0" t="s">
        <v>3645</v>
      </c>
      <c r="D141" s="0" t="s">
        <v>3644</v>
      </c>
      <c r="E141" s="0" t="s">
        <v>3645</v>
      </c>
      <c r="F141" s="0" t="s">
        <v>3295</v>
      </c>
      <c r="G141" s="0" t="s">
        <v>3646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2B10A-8BB9-9119-7AD6-82DBBECCCD89}" mc:Ignorable="x14ac xr xr2 xr3">
  <sheetPr>
    <tabColor rgb="FFFFCC99"/>
  </sheetPr>
  <dimension ref="A1:I106"/>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3" t="s">
        <v>3647</v>
      </c>
      <c r="B1" s="843" t="s">
        <v>3648</v>
      </c>
      <c r="C1" s="1167" t="s">
        <v>3649</v>
      </c>
      <c r="D1" s="843" t="s">
        <v>3650</v>
      </c>
      <c r="E1" s="843" t="s">
        <v>3651</v>
      </c>
      <c r="F1" s="1167" t="s">
        <v>3652</v>
      </c>
      <c r="G1" s="1167" t="s">
        <v>3653</v>
      </c>
      <c r="H1" s="1167" t="s">
        <v>3654</v>
      </c>
      <c r="I1" s="1167" t="s">
        <v>3655</v>
      </c>
    </row>
    <row customHeight="1" ht="11.25">
      <c r="A2" s="1698" t="s">
        <v>118</v>
      </c>
      <c r="B2" s="1698" t="s">
        <v>3656</v>
      </c>
      <c r="C2" s="1698" t="s">
        <v>22</v>
      </c>
      <c r="D2" s="1698" t="s">
        <v>3657</v>
      </c>
      <c r="E2" s="1698" t="s">
        <v>3658</v>
      </c>
      <c r="F2" s="1698" t="s">
        <v>22</v>
      </c>
      <c r="G2" s="1698" t="s">
        <v>22</v>
      </c>
      <c r="H2" s="1698" t="s">
        <v>22</v>
      </c>
      <c r="I2" s="1698" t="s">
        <v>22</v>
      </c>
    </row>
    <row customHeight="1" ht="11.25">
      <c r="A3" s="1698" t="s">
        <v>102</v>
      </c>
      <c r="B3" s="1698" t="s">
        <v>3659</v>
      </c>
      <c r="C3" s="1698" t="s">
        <v>22</v>
      </c>
      <c r="D3" s="1698" t="s">
        <v>3660</v>
      </c>
      <c r="E3" s="1698" t="s">
        <v>3661</v>
      </c>
      <c r="F3" s="1698" t="s">
        <v>22</v>
      </c>
      <c r="G3" s="1698" t="s">
        <v>22</v>
      </c>
      <c r="H3" s="1698" t="s">
        <v>22</v>
      </c>
      <c r="I3" s="1698" t="s">
        <v>22</v>
      </c>
    </row>
    <row customHeight="1" ht="11.25">
      <c r="A4" s="1698" t="s">
        <v>90</v>
      </c>
      <c r="B4" s="1698" t="s">
        <v>3662</v>
      </c>
      <c r="C4" s="1698" t="s">
        <v>22</v>
      </c>
      <c r="D4" s="1698" t="s">
        <v>3663</v>
      </c>
      <c r="E4" s="1698" t="s">
        <v>3661</v>
      </c>
      <c r="F4" s="1698" t="s">
        <v>22</v>
      </c>
      <c r="G4" s="1698" t="s">
        <v>22</v>
      </c>
      <c r="H4" s="1698" t="s">
        <v>22</v>
      </c>
      <c r="I4" s="1698" t="s">
        <v>22</v>
      </c>
    </row>
    <row customHeight="1" ht="11.25">
      <c r="A5" s="1698" t="s">
        <v>91</v>
      </c>
      <c r="B5" s="1698" t="s">
        <v>3664</v>
      </c>
      <c r="C5" s="1698" t="s">
        <v>22</v>
      </c>
      <c r="D5" s="1698" t="s">
        <v>3663</v>
      </c>
      <c r="E5" s="1698" t="s">
        <v>3661</v>
      </c>
      <c r="F5" s="1698" t="s">
        <v>22</v>
      </c>
      <c r="G5" s="1698" t="s">
        <v>22</v>
      </c>
      <c r="H5" s="1698" t="s">
        <v>22</v>
      </c>
      <c r="I5" s="1698" t="s">
        <v>22</v>
      </c>
    </row>
    <row customHeight="1" ht="11.25">
      <c r="A6" s="1698" t="s">
        <v>119</v>
      </c>
      <c r="B6" s="1698" t="s">
        <v>3665</v>
      </c>
      <c r="C6" s="1698" t="s">
        <v>22</v>
      </c>
      <c r="D6" s="1698" t="s">
        <v>3660</v>
      </c>
      <c r="E6" s="1698" t="s">
        <v>3661</v>
      </c>
      <c r="F6" s="1698" t="s">
        <v>22</v>
      </c>
      <c r="G6" s="1698" t="s">
        <v>22</v>
      </c>
      <c r="H6" s="1698" t="s">
        <v>22</v>
      </c>
      <c r="I6" s="1698" t="s">
        <v>22</v>
      </c>
    </row>
    <row customHeight="1" ht="11.25">
      <c r="A7" s="1698" t="s">
        <v>92</v>
      </c>
      <c r="B7" s="1698" t="s">
        <v>3666</v>
      </c>
      <c r="C7" s="1698" t="s">
        <v>22</v>
      </c>
      <c r="D7" s="1698" t="s">
        <v>3663</v>
      </c>
      <c r="E7" s="1698" t="s">
        <v>3661</v>
      </c>
      <c r="F7" s="1698" t="s">
        <v>22</v>
      </c>
      <c r="G7" s="1698" t="s">
        <v>22</v>
      </c>
      <c r="H7" s="1698" t="s">
        <v>22</v>
      </c>
      <c r="I7" s="1698" t="s">
        <v>22</v>
      </c>
    </row>
    <row customHeight="1" ht="11.25">
      <c r="A8" s="1698" t="s">
        <v>93</v>
      </c>
      <c r="B8" s="1698" t="s">
        <v>3667</v>
      </c>
      <c r="C8" s="1698" t="s">
        <v>22</v>
      </c>
      <c r="D8" s="1698" t="s">
        <v>3663</v>
      </c>
      <c r="E8" s="1698" t="s">
        <v>3661</v>
      </c>
      <c r="F8" s="1698" t="s">
        <v>22</v>
      </c>
      <c r="G8" s="1698" t="s">
        <v>22</v>
      </c>
      <c r="H8" s="1698" t="s">
        <v>22</v>
      </c>
      <c r="I8" s="1698" t="s">
        <v>22</v>
      </c>
    </row>
    <row customHeight="1" ht="11.25">
      <c r="A9" s="1698" t="s">
        <v>120</v>
      </c>
      <c r="B9" s="1698" t="s">
        <v>3668</v>
      </c>
      <c r="C9" s="1698" t="s">
        <v>22</v>
      </c>
      <c r="D9" s="1698" t="s">
        <v>3663</v>
      </c>
      <c r="E9" s="1698" t="s">
        <v>3658</v>
      </c>
      <c r="F9" s="1698" t="s">
        <v>22</v>
      </c>
      <c r="G9" s="1698" t="s">
        <v>22</v>
      </c>
      <c r="H9" s="1698" t="s">
        <v>22</v>
      </c>
      <c r="I9" s="1698" t="s">
        <v>22</v>
      </c>
    </row>
    <row customHeight="1" ht="11.25">
      <c r="A10" s="1698" t="s">
        <v>167</v>
      </c>
      <c r="B10" s="1698" t="s">
        <v>3669</v>
      </c>
      <c r="C10" s="1698" t="s">
        <v>22</v>
      </c>
      <c r="D10" s="1698" t="s">
        <v>3663</v>
      </c>
      <c r="E10" s="1698" t="s">
        <v>3661</v>
      </c>
      <c r="F10" s="1698" t="s">
        <v>22</v>
      </c>
      <c r="G10" s="1698" t="s">
        <v>22</v>
      </c>
      <c r="H10" s="1698" t="s">
        <v>22</v>
      </c>
      <c r="I10" s="1698" t="s">
        <v>22</v>
      </c>
    </row>
    <row customHeight="1" ht="11.25">
      <c r="A11" s="1698" t="s">
        <v>168</v>
      </c>
      <c r="B11" s="1698" t="s">
        <v>3670</v>
      </c>
      <c r="C11" s="1698" t="s">
        <v>22</v>
      </c>
      <c r="D11" s="1698" t="s">
        <v>3671</v>
      </c>
      <c r="E11" s="1698" t="s">
        <v>3661</v>
      </c>
      <c r="F11" s="1698" t="s">
        <v>22</v>
      </c>
      <c r="G11" s="1698" t="s">
        <v>22</v>
      </c>
      <c r="H11" s="1698" t="s">
        <v>22</v>
      </c>
      <c r="I11" s="1698" t="s">
        <v>22</v>
      </c>
    </row>
    <row customHeight="1" ht="11.25">
      <c r="A12" s="1698" t="s">
        <v>169</v>
      </c>
      <c r="B12" s="1698" t="s">
        <v>3672</v>
      </c>
      <c r="C12" s="1698" t="s">
        <v>22</v>
      </c>
      <c r="D12" s="1698" t="s">
        <v>3663</v>
      </c>
      <c r="E12" s="1698" t="s">
        <v>3661</v>
      </c>
      <c r="F12" s="1698" t="s">
        <v>22</v>
      </c>
      <c r="G12" s="1698" t="s">
        <v>22</v>
      </c>
      <c r="H12" s="1698" t="s">
        <v>22</v>
      </c>
      <c r="I12" s="1698" t="s">
        <v>22</v>
      </c>
    </row>
    <row customHeight="1" ht="11.25">
      <c r="A13" s="1698" t="s">
        <v>170</v>
      </c>
      <c r="B13" s="1698" t="s">
        <v>3673</v>
      </c>
      <c r="C13" s="1698" t="s">
        <v>22</v>
      </c>
      <c r="D13" s="1698" t="s">
        <v>3671</v>
      </c>
      <c r="E13" s="1698" t="s">
        <v>3661</v>
      </c>
      <c r="F13" s="1698" t="s">
        <v>22</v>
      </c>
      <c r="G13" s="1698" t="s">
        <v>22</v>
      </c>
      <c r="H13" s="1698" t="s">
        <v>22</v>
      </c>
      <c r="I13" s="1698" t="s">
        <v>22</v>
      </c>
    </row>
    <row customHeight="1" ht="11.25">
      <c r="A14" s="1698" t="s">
        <v>171</v>
      </c>
      <c r="B14" s="1698" t="s">
        <v>3674</v>
      </c>
      <c r="C14" s="1698" t="s">
        <v>22</v>
      </c>
      <c r="D14" s="1698" t="s">
        <v>3671</v>
      </c>
      <c r="E14" s="1698" t="s">
        <v>3661</v>
      </c>
      <c r="F14" s="1698" t="s">
        <v>22</v>
      </c>
      <c r="G14" s="1698" t="s">
        <v>22</v>
      </c>
      <c r="H14" s="1698" t="s">
        <v>22</v>
      </c>
      <c r="I14" s="1698" t="s">
        <v>22</v>
      </c>
    </row>
    <row customHeight="1" ht="11.25">
      <c r="A15" s="1698" t="s">
        <v>172</v>
      </c>
      <c r="B15" s="1698" t="s">
        <v>3675</v>
      </c>
      <c r="C15" s="1698" t="s">
        <v>22</v>
      </c>
      <c r="D15" s="1698" t="s">
        <v>3663</v>
      </c>
      <c r="E15" s="1698" t="s">
        <v>3661</v>
      </c>
      <c r="F15" s="1698" t="s">
        <v>22</v>
      </c>
      <c r="G15" s="1698" t="s">
        <v>22</v>
      </c>
      <c r="H15" s="1698" t="s">
        <v>22</v>
      </c>
      <c r="I15" s="1698" t="s">
        <v>22</v>
      </c>
    </row>
    <row customHeight="1" ht="11.25">
      <c r="A16" s="1698" t="s">
        <v>1120</v>
      </c>
      <c r="B16" s="1698" t="s">
        <v>3676</v>
      </c>
      <c r="C16" s="1698" t="s">
        <v>22</v>
      </c>
      <c r="D16" s="1698" t="s">
        <v>3663</v>
      </c>
      <c r="E16" s="1698" t="s">
        <v>3661</v>
      </c>
      <c r="F16" s="1698" t="s">
        <v>22</v>
      </c>
      <c r="G16" s="1698" t="s">
        <v>22</v>
      </c>
      <c r="H16" s="1698" t="s">
        <v>22</v>
      </c>
      <c r="I16" s="1698" t="s">
        <v>22</v>
      </c>
    </row>
    <row customHeight="1" ht="11.25">
      <c r="A17" s="1698" t="s">
        <v>1124</v>
      </c>
      <c r="B17" s="1698" t="s">
        <v>3677</v>
      </c>
      <c r="C17" s="1698" t="s">
        <v>22</v>
      </c>
      <c r="D17" s="1698" t="s">
        <v>3671</v>
      </c>
      <c r="E17" s="1698" t="s">
        <v>3661</v>
      </c>
      <c r="F17" s="1698" t="s">
        <v>22</v>
      </c>
      <c r="G17" s="1698" t="s">
        <v>22</v>
      </c>
      <c r="H17" s="1698" t="s">
        <v>22</v>
      </c>
      <c r="I17" s="1698" t="s">
        <v>22</v>
      </c>
    </row>
    <row customHeight="1" ht="11.25">
      <c r="A18" s="1698" t="s">
        <v>1128</v>
      </c>
      <c r="B18" s="1698" t="s">
        <v>3678</v>
      </c>
      <c r="C18" s="1698" t="s">
        <v>22</v>
      </c>
      <c r="D18" s="1698" t="s">
        <v>3663</v>
      </c>
      <c r="E18" s="1698" t="s">
        <v>3661</v>
      </c>
      <c r="F18" s="1698" t="s">
        <v>22</v>
      </c>
      <c r="G18" s="1698" t="s">
        <v>22</v>
      </c>
      <c r="H18" s="1698" t="s">
        <v>22</v>
      </c>
      <c r="I18" s="1698" t="s">
        <v>22</v>
      </c>
    </row>
    <row customHeight="1" ht="11.25">
      <c r="A19" s="1698" t="s">
        <v>1130</v>
      </c>
      <c r="B19" s="1698" t="s">
        <v>3679</v>
      </c>
      <c r="C19" s="1698" t="s">
        <v>22</v>
      </c>
      <c r="D19" s="1698" t="s">
        <v>3663</v>
      </c>
      <c r="E19" s="1698" t="s">
        <v>3661</v>
      </c>
      <c r="F19" s="1698" t="s">
        <v>22</v>
      </c>
      <c r="G19" s="1698" t="s">
        <v>22</v>
      </c>
      <c r="H19" s="1698" t="s">
        <v>22</v>
      </c>
      <c r="I19" s="1698" t="s">
        <v>22</v>
      </c>
    </row>
    <row customHeight="1" ht="11.25">
      <c r="A20" s="1698" t="s">
        <v>1133</v>
      </c>
      <c r="B20" s="1698" t="s">
        <v>3680</v>
      </c>
      <c r="C20" s="1698" t="s">
        <v>22</v>
      </c>
      <c r="D20" s="1698" t="s">
        <v>3671</v>
      </c>
      <c r="E20" s="1698" t="s">
        <v>3661</v>
      </c>
      <c r="F20" s="1698" t="s">
        <v>22</v>
      </c>
      <c r="G20" s="1698" t="s">
        <v>22</v>
      </c>
      <c r="H20" s="1698" t="s">
        <v>22</v>
      </c>
      <c r="I20" s="1698" t="s">
        <v>22</v>
      </c>
    </row>
    <row customHeight="1" ht="11.25">
      <c r="A21" s="1698" t="s">
        <v>1135</v>
      </c>
      <c r="B21" s="1698" t="s">
        <v>3681</v>
      </c>
      <c r="C21" s="1698" t="s">
        <v>22</v>
      </c>
      <c r="D21" s="1698" t="s">
        <v>3663</v>
      </c>
      <c r="E21" s="1698" t="s">
        <v>3661</v>
      </c>
      <c r="F21" s="1698" t="s">
        <v>22</v>
      </c>
      <c r="G21" s="1698" t="s">
        <v>22</v>
      </c>
      <c r="H21" s="1698" t="s">
        <v>22</v>
      </c>
      <c r="I21" s="1698" t="s">
        <v>22</v>
      </c>
    </row>
    <row customHeight="1" ht="11.25">
      <c r="A22" s="1698" t="s">
        <v>1137</v>
      </c>
      <c r="B22" s="1698" t="s">
        <v>3682</v>
      </c>
      <c r="C22" s="1698" t="s">
        <v>22</v>
      </c>
      <c r="D22" s="1698" t="s">
        <v>3671</v>
      </c>
      <c r="E22" s="1698" t="s">
        <v>3661</v>
      </c>
      <c r="F22" s="1698" t="s">
        <v>22</v>
      </c>
      <c r="G22" s="1698" t="s">
        <v>22</v>
      </c>
      <c r="H22" s="1698" t="s">
        <v>22</v>
      </c>
      <c r="I22" s="1698" t="s">
        <v>22</v>
      </c>
    </row>
    <row customHeight="1" ht="11.25">
      <c r="A23" s="1698" t="s">
        <v>1139</v>
      </c>
      <c r="B23" s="1698" t="s">
        <v>3683</v>
      </c>
      <c r="C23" s="1698" t="s">
        <v>22</v>
      </c>
      <c r="D23" s="1698" t="s">
        <v>3663</v>
      </c>
      <c r="E23" s="1698" t="s">
        <v>3661</v>
      </c>
      <c r="F23" s="1698" t="s">
        <v>22</v>
      </c>
      <c r="G23" s="1698" t="s">
        <v>22</v>
      </c>
      <c r="H23" s="1698" t="s">
        <v>22</v>
      </c>
      <c r="I23" s="1698" t="s">
        <v>22</v>
      </c>
    </row>
    <row customHeight="1" ht="11.25">
      <c r="A24" s="1698" t="s">
        <v>1141</v>
      </c>
      <c r="B24" s="1698" t="s">
        <v>3684</v>
      </c>
      <c r="C24" s="1698" t="s">
        <v>22</v>
      </c>
      <c r="D24" s="1698" t="s">
        <v>3663</v>
      </c>
      <c r="E24" s="1698" t="s">
        <v>3661</v>
      </c>
      <c r="F24" s="1698" t="s">
        <v>22</v>
      </c>
      <c r="G24" s="1698" t="s">
        <v>22</v>
      </c>
      <c r="H24" s="1698" t="s">
        <v>22</v>
      </c>
      <c r="I24" s="1698" t="s">
        <v>22</v>
      </c>
    </row>
    <row customHeight="1" ht="11.25">
      <c r="A25" s="1698" t="s">
        <v>1143</v>
      </c>
      <c r="B25" s="1698" t="s">
        <v>3685</v>
      </c>
      <c r="C25" s="1698" t="s">
        <v>22</v>
      </c>
      <c r="D25" s="1698" t="s">
        <v>3663</v>
      </c>
      <c r="E25" s="1698" t="s">
        <v>3686</v>
      </c>
      <c r="F25" s="1698" t="s">
        <v>22</v>
      </c>
      <c r="G25" s="1698" t="s">
        <v>22</v>
      </c>
      <c r="H25" s="1698" t="s">
        <v>22</v>
      </c>
      <c r="I25" s="1698" t="s">
        <v>22</v>
      </c>
    </row>
    <row customHeight="1" ht="11.25">
      <c r="A26" s="1698" t="s">
        <v>1145</v>
      </c>
      <c r="B26" s="1698" t="s">
        <v>3687</v>
      </c>
      <c r="C26" s="1698" t="s">
        <v>22</v>
      </c>
      <c r="D26" s="1698" t="s">
        <v>3688</v>
      </c>
      <c r="E26" s="1698" t="s">
        <v>3689</v>
      </c>
      <c r="F26" s="1698" t="s">
        <v>22</v>
      </c>
      <c r="G26" s="1698" t="s">
        <v>22</v>
      </c>
      <c r="H26" s="1698" t="s">
        <v>22</v>
      </c>
      <c r="I26" s="1698" t="s">
        <v>22</v>
      </c>
    </row>
    <row customHeight="1" ht="11.25">
      <c r="A27" s="1698" t="s">
        <v>1148</v>
      </c>
      <c r="B27" s="1698" t="s">
        <v>3690</v>
      </c>
      <c r="C27" s="1698" t="s">
        <v>22</v>
      </c>
      <c r="D27" s="1698" t="s">
        <v>3663</v>
      </c>
      <c r="E27" s="1698" t="s">
        <v>3691</v>
      </c>
      <c r="F27" s="1698" t="s">
        <v>22</v>
      </c>
      <c r="G27" s="1698" t="s">
        <v>22</v>
      </c>
      <c r="H27" s="1698" t="s">
        <v>22</v>
      </c>
      <c r="I27" s="1698" t="s">
        <v>22</v>
      </c>
    </row>
    <row customHeight="1" ht="11.25">
      <c r="A28" s="1698" t="s">
        <v>1150</v>
      </c>
      <c r="B28" s="1698" t="s">
        <v>3692</v>
      </c>
      <c r="C28" s="1698" t="s">
        <v>22</v>
      </c>
      <c r="D28" s="1698" t="s">
        <v>3663</v>
      </c>
      <c r="E28" s="1698" t="s">
        <v>3691</v>
      </c>
      <c r="F28" s="1698" t="s">
        <v>22</v>
      </c>
      <c r="G28" s="1698" t="s">
        <v>22</v>
      </c>
      <c r="H28" s="1698" t="s">
        <v>22</v>
      </c>
      <c r="I28" s="1698" t="s">
        <v>22</v>
      </c>
    </row>
    <row customHeight="1" ht="11.25">
      <c r="A29" s="1698" t="s">
        <v>1152</v>
      </c>
      <c r="B29" s="1698" t="s">
        <v>3693</v>
      </c>
      <c r="C29" s="1698" t="s">
        <v>22</v>
      </c>
      <c r="D29" s="1698" t="s">
        <v>3663</v>
      </c>
      <c r="E29" s="1698" t="s">
        <v>3658</v>
      </c>
      <c r="F29" s="1698" t="s">
        <v>22</v>
      </c>
      <c r="G29" s="1698" t="s">
        <v>22</v>
      </c>
      <c r="H29" s="1698" t="s">
        <v>22</v>
      </c>
      <c r="I29" s="1698" t="s">
        <v>22</v>
      </c>
    </row>
    <row customHeight="1" ht="11.25">
      <c r="A30" s="1698" t="s">
        <v>1154</v>
      </c>
      <c r="B30" s="1698" t="s">
        <v>3694</v>
      </c>
      <c r="C30" s="1698" t="s">
        <v>22</v>
      </c>
      <c r="D30" s="1698" t="s">
        <v>3663</v>
      </c>
      <c r="E30" s="1698" t="s">
        <v>3691</v>
      </c>
      <c r="F30" s="1698" t="s">
        <v>22</v>
      </c>
      <c r="G30" s="1698" t="s">
        <v>22</v>
      </c>
      <c r="H30" s="1698" t="s">
        <v>22</v>
      </c>
      <c r="I30" s="1698" t="s">
        <v>22</v>
      </c>
    </row>
    <row customHeight="1" ht="11.25">
      <c r="A31" s="1698" t="s">
        <v>1156</v>
      </c>
      <c r="B31" s="1698" t="s">
        <v>3695</v>
      </c>
      <c r="C31" s="1698" t="s">
        <v>22</v>
      </c>
      <c r="D31" s="1698" t="s">
        <v>3663</v>
      </c>
      <c r="E31" s="1698" t="s">
        <v>3691</v>
      </c>
      <c r="F31" s="1698" t="s">
        <v>22</v>
      </c>
      <c r="G31" s="1698" t="s">
        <v>22</v>
      </c>
      <c r="H31" s="1698" t="s">
        <v>22</v>
      </c>
      <c r="I31" s="1698" t="s">
        <v>22</v>
      </c>
    </row>
    <row customHeight="1" ht="11.25">
      <c r="A32" s="1698" t="s">
        <v>1158</v>
      </c>
      <c r="B32" s="1698" t="s">
        <v>3696</v>
      </c>
      <c r="C32" s="1698" t="s">
        <v>22</v>
      </c>
      <c r="D32" s="1698" t="s">
        <v>3663</v>
      </c>
      <c r="E32" s="1698" t="s">
        <v>3658</v>
      </c>
      <c r="F32" s="1698" t="s">
        <v>22</v>
      </c>
      <c r="G32" s="1698" t="s">
        <v>22</v>
      </c>
      <c r="H32" s="1698" t="s">
        <v>22</v>
      </c>
      <c r="I32" s="1698" t="s">
        <v>22</v>
      </c>
    </row>
    <row customHeight="1" ht="11.25">
      <c r="A33" s="1698" t="s">
        <v>1160</v>
      </c>
      <c r="B33" s="1698" t="s">
        <v>3697</v>
      </c>
      <c r="C33" s="1698" t="s">
        <v>22</v>
      </c>
      <c r="D33" s="1698" t="s">
        <v>3657</v>
      </c>
      <c r="E33" s="1698" t="s">
        <v>3658</v>
      </c>
      <c r="F33" s="1698" t="s">
        <v>22</v>
      </c>
      <c r="G33" s="1698" t="s">
        <v>22</v>
      </c>
      <c r="H33" s="1698" t="s">
        <v>22</v>
      </c>
      <c r="I33" s="1698" t="s">
        <v>22</v>
      </c>
    </row>
    <row customHeight="1" ht="11.25">
      <c r="A34" s="1698" t="s">
        <v>1162</v>
      </c>
      <c r="B34" s="1698" t="s">
        <v>3698</v>
      </c>
      <c r="C34" s="1698" t="s">
        <v>22</v>
      </c>
      <c r="D34" s="1698" t="s">
        <v>3699</v>
      </c>
      <c r="E34" s="1698" t="s">
        <v>3661</v>
      </c>
      <c r="F34" s="1698" t="s">
        <v>22</v>
      </c>
      <c r="G34" s="1698" t="s">
        <v>22</v>
      </c>
      <c r="H34" s="1698" t="s">
        <v>22</v>
      </c>
      <c r="I34" s="1698" t="s">
        <v>22</v>
      </c>
    </row>
    <row customHeight="1" ht="11.25">
      <c r="A35" s="1698" t="s">
        <v>1164</v>
      </c>
      <c r="B35" s="1698" t="s">
        <v>3700</v>
      </c>
      <c r="C35" s="1698" t="s">
        <v>22</v>
      </c>
      <c r="D35" s="1698" t="s">
        <v>1033</v>
      </c>
      <c r="E35" s="1698" t="s">
        <v>3661</v>
      </c>
      <c r="F35" s="1698" t="s">
        <v>22</v>
      </c>
      <c r="G35" s="1698" t="s">
        <v>22</v>
      </c>
      <c r="H35" s="1698" t="s">
        <v>22</v>
      </c>
      <c r="I35" s="1698" t="s">
        <v>22</v>
      </c>
    </row>
    <row customHeight="1" ht="11.25">
      <c r="A36" s="1698" t="s">
        <v>1166</v>
      </c>
      <c r="B36" s="1698" t="s">
        <v>1029</v>
      </c>
      <c r="C36" s="1698" t="s">
        <v>22</v>
      </c>
      <c r="D36" s="1698" t="s">
        <v>1033</v>
      </c>
      <c r="E36" s="1698" t="s">
        <v>1034</v>
      </c>
      <c r="F36" s="1698" t="s">
        <v>22</v>
      </c>
      <c r="G36" s="1698" t="s">
        <v>22</v>
      </c>
      <c r="H36" s="1698" t="s">
        <v>22</v>
      </c>
      <c r="I36" s="1698" t="s">
        <v>22</v>
      </c>
    </row>
    <row customHeight="1" ht="11.25">
      <c r="A37" s="1698" t="s">
        <v>1169</v>
      </c>
      <c r="B37" s="1698" t="s">
        <v>3701</v>
      </c>
      <c r="C37" s="1698" t="s">
        <v>22</v>
      </c>
      <c r="D37" s="1698" t="s">
        <v>3699</v>
      </c>
      <c r="E37" s="1698" t="s">
        <v>3661</v>
      </c>
      <c r="F37" s="1698" t="s">
        <v>22</v>
      </c>
      <c r="G37" s="1698" t="s">
        <v>22</v>
      </c>
      <c r="H37" s="1698" t="s">
        <v>22</v>
      </c>
      <c r="I37" s="1698" t="s">
        <v>22</v>
      </c>
    </row>
    <row customHeight="1" ht="11.25">
      <c r="A38" s="1698" t="s">
        <v>1171</v>
      </c>
      <c r="B38" s="1698" t="s">
        <v>3702</v>
      </c>
      <c r="C38" s="1698" t="s">
        <v>22</v>
      </c>
      <c r="D38" s="1698" t="s">
        <v>3663</v>
      </c>
      <c r="E38" s="1698" t="s">
        <v>3661</v>
      </c>
      <c r="F38" s="1698" t="s">
        <v>22</v>
      </c>
      <c r="G38" s="1698" t="s">
        <v>22</v>
      </c>
      <c r="H38" s="1698" t="s">
        <v>22</v>
      </c>
      <c r="I38" s="1698" t="s">
        <v>22</v>
      </c>
    </row>
    <row customHeight="1" ht="11.25">
      <c r="A39" s="1698" t="s">
        <v>1173</v>
      </c>
      <c r="B39" s="1698" t="s">
        <v>3703</v>
      </c>
      <c r="C39" s="1698" t="s">
        <v>22</v>
      </c>
      <c r="D39" s="1698" t="s">
        <v>3704</v>
      </c>
      <c r="E39" s="1698" t="s">
        <v>3661</v>
      </c>
      <c r="F39" s="1698" t="s">
        <v>22</v>
      </c>
      <c r="G39" s="1698" t="s">
        <v>22</v>
      </c>
      <c r="H39" s="1698" t="s">
        <v>22</v>
      </c>
      <c r="I39" s="1698" t="s">
        <v>22</v>
      </c>
    </row>
    <row customHeight="1" ht="11.25">
      <c r="A40" s="1698" t="s">
        <v>1175</v>
      </c>
      <c r="B40" s="1698" t="s">
        <v>3705</v>
      </c>
      <c r="C40" s="1698" t="s">
        <v>22</v>
      </c>
      <c r="D40" s="1698" t="s">
        <v>3699</v>
      </c>
      <c r="E40" s="1698" t="s">
        <v>3706</v>
      </c>
      <c r="F40" s="1698" t="s">
        <v>22</v>
      </c>
      <c r="G40" s="1698" t="s">
        <v>22</v>
      </c>
      <c r="H40" s="1698" t="s">
        <v>22</v>
      </c>
      <c r="I40" s="1698" t="s">
        <v>22</v>
      </c>
    </row>
    <row customHeight="1" ht="11.25">
      <c r="A41" s="1698" t="s">
        <v>1177</v>
      </c>
      <c r="B41" s="1698" t="s">
        <v>3707</v>
      </c>
      <c r="C41" s="1698" t="s">
        <v>22</v>
      </c>
      <c r="D41" s="1698" t="s">
        <v>3708</v>
      </c>
      <c r="E41" s="1698" t="s">
        <v>3709</v>
      </c>
      <c r="F41" s="1698" t="s">
        <v>22</v>
      </c>
      <c r="G41" s="1698" t="s">
        <v>22</v>
      </c>
      <c r="H41" s="1698" t="s">
        <v>22</v>
      </c>
      <c r="I41" s="1698" t="s">
        <v>22</v>
      </c>
    </row>
    <row customHeight="1" ht="11.25">
      <c r="A42" s="1698" t="s">
        <v>1179</v>
      </c>
      <c r="B42" s="1698" t="s">
        <v>3710</v>
      </c>
      <c r="C42" s="1698" t="s">
        <v>22</v>
      </c>
      <c r="D42" s="1698" t="s">
        <v>3708</v>
      </c>
      <c r="E42" s="1698" t="s">
        <v>3709</v>
      </c>
      <c r="F42" s="1698" t="s">
        <v>22</v>
      </c>
      <c r="G42" s="1698" t="s">
        <v>22</v>
      </c>
      <c r="H42" s="1698" t="s">
        <v>22</v>
      </c>
      <c r="I42" s="1698" t="s">
        <v>22</v>
      </c>
    </row>
    <row customHeight="1" ht="11.25">
      <c r="A43" s="1698" t="s">
        <v>1181</v>
      </c>
      <c r="B43" s="1698" t="s">
        <v>3711</v>
      </c>
      <c r="C43" s="1698" t="s">
        <v>22</v>
      </c>
      <c r="D43" s="1698" t="s">
        <v>3708</v>
      </c>
      <c r="E43" s="1698" t="s">
        <v>3709</v>
      </c>
      <c r="F43" s="1698" t="s">
        <v>22</v>
      </c>
      <c r="G43" s="1698" t="s">
        <v>22</v>
      </c>
      <c r="H43" s="1698" t="s">
        <v>22</v>
      </c>
      <c r="I43" s="1698" t="s">
        <v>22</v>
      </c>
    </row>
    <row customHeight="1" ht="11.25">
      <c r="A44" s="1698" t="s">
        <v>1183</v>
      </c>
      <c r="B44" s="1698" t="s">
        <v>3712</v>
      </c>
      <c r="C44" s="1698" t="s">
        <v>22</v>
      </c>
      <c r="D44" s="1698" t="s">
        <v>3699</v>
      </c>
      <c r="E44" s="1698" t="s">
        <v>3706</v>
      </c>
      <c r="F44" s="1698" t="s">
        <v>22</v>
      </c>
      <c r="G44" s="1698" t="s">
        <v>22</v>
      </c>
      <c r="H44" s="1698" t="s">
        <v>22</v>
      </c>
      <c r="I44" s="1698" t="s">
        <v>22</v>
      </c>
    </row>
    <row customHeight="1" ht="11.25">
      <c r="A45" s="1698" t="s">
        <v>1185</v>
      </c>
      <c r="B45" s="1698" t="s">
        <v>3713</v>
      </c>
      <c r="C45" s="1698" t="s">
        <v>22</v>
      </c>
      <c r="D45" s="1698" t="s">
        <v>3699</v>
      </c>
      <c r="E45" s="1698" t="s">
        <v>3706</v>
      </c>
      <c r="F45" s="1698" t="s">
        <v>22</v>
      </c>
      <c r="G45" s="1698" t="s">
        <v>22</v>
      </c>
      <c r="H45" s="1698" t="s">
        <v>22</v>
      </c>
      <c r="I45" s="1698" t="s">
        <v>22</v>
      </c>
    </row>
    <row customHeight="1" ht="11.25">
      <c r="A46" s="1698" t="s">
        <v>1187</v>
      </c>
      <c r="B46" s="1698" t="s">
        <v>3714</v>
      </c>
      <c r="C46" s="1698" t="s">
        <v>22</v>
      </c>
      <c r="D46" s="1698" t="s">
        <v>3699</v>
      </c>
      <c r="E46" s="1698" t="s">
        <v>3706</v>
      </c>
      <c r="F46" s="1698" t="s">
        <v>22</v>
      </c>
      <c r="G46" s="1698" t="s">
        <v>22</v>
      </c>
      <c r="H46" s="1698" t="s">
        <v>22</v>
      </c>
      <c r="I46" s="1698" t="s">
        <v>22</v>
      </c>
    </row>
    <row customHeight="1" ht="11.25">
      <c r="A47" s="1698" t="s">
        <v>1189</v>
      </c>
      <c r="B47" s="1698" t="s">
        <v>3715</v>
      </c>
      <c r="C47" s="1698" t="s">
        <v>22</v>
      </c>
      <c r="D47" s="1698" t="s">
        <v>3699</v>
      </c>
      <c r="E47" s="1698" t="s">
        <v>3706</v>
      </c>
      <c r="F47" s="1698" t="s">
        <v>22</v>
      </c>
      <c r="G47" s="1698" t="s">
        <v>22</v>
      </c>
      <c r="H47" s="1698" t="s">
        <v>22</v>
      </c>
      <c r="I47" s="1698" t="s">
        <v>22</v>
      </c>
    </row>
    <row customHeight="1" ht="11.25">
      <c r="A48" s="1698" t="s">
        <v>1191</v>
      </c>
      <c r="B48" s="1698" t="s">
        <v>3716</v>
      </c>
      <c r="C48" s="1698" t="s">
        <v>22</v>
      </c>
      <c r="D48" s="1698" t="s">
        <v>3660</v>
      </c>
      <c r="E48" s="1698" t="s">
        <v>3661</v>
      </c>
      <c r="F48" s="1698" t="s">
        <v>22</v>
      </c>
      <c r="G48" s="1698" t="s">
        <v>22</v>
      </c>
      <c r="H48" s="1698" t="s">
        <v>22</v>
      </c>
      <c r="I48" s="1698" t="s">
        <v>22</v>
      </c>
    </row>
    <row customHeight="1" ht="11.25">
      <c r="A49" s="1698" t="s">
        <v>1193</v>
      </c>
      <c r="B49" s="1698" t="s">
        <v>3717</v>
      </c>
      <c r="C49" s="1698" t="s">
        <v>22</v>
      </c>
      <c r="D49" s="1698" t="s">
        <v>3699</v>
      </c>
      <c r="E49" s="1698" t="s">
        <v>3706</v>
      </c>
      <c r="F49" s="1698" t="s">
        <v>22</v>
      </c>
      <c r="G49" s="1698" t="s">
        <v>22</v>
      </c>
      <c r="H49" s="1698" t="s">
        <v>22</v>
      </c>
      <c r="I49" s="1698" t="s">
        <v>22</v>
      </c>
    </row>
    <row customHeight="1" ht="11.25">
      <c r="A50" s="1698" t="s">
        <v>1195</v>
      </c>
      <c r="B50" s="1698" t="s">
        <v>3718</v>
      </c>
      <c r="C50" s="1698" t="s">
        <v>22</v>
      </c>
      <c r="D50" s="1698" t="s">
        <v>3699</v>
      </c>
      <c r="E50" s="1698" t="s">
        <v>3719</v>
      </c>
      <c r="F50" s="1698" t="s">
        <v>22</v>
      </c>
      <c r="G50" s="1698" t="s">
        <v>22</v>
      </c>
      <c r="H50" s="1698" t="s">
        <v>22</v>
      </c>
      <c r="I50" s="1698" t="s">
        <v>22</v>
      </c>
    </row>
    <row customHeight="1" ht="11.25">
      <c r="A51" s="1698" t="s">
        <v>1197</v>
      </c>
      <c r="B51" s="1698" t="s">
        <v>3720</v>
      </c>
      <c r="C51" s="1698" t="s">
        <v>22</v>
      </c>
      <c r="D51" s="1698" t="s">
        <v>3699</v>
      </c>
      <c r="E51" s="1698" t="s">
        <v>3706</v>
      </c>
      <c r="F51" s="1698" t="s">
        <v>22</v>
      </c>
      <c r="G51" s="1698" t="s">
        <v>22</v>
      </c>
      <c r="H51" s="1698" t="s">
        <v>22</v>
      </c>
      <c r="I51" s="1698" t="s">
        <v>22</v>
      </c>
    </row>
    <row customHeight="1" ht="11.25">
      <c r="A52" s="1698" t="s">
        <v>1199</v>
      </c>
      <c r="B52" s="1698" t="s">
        <v>3721</v>
      </c>
      <c r="C52" s="1698" t="s">
        <v>22</v>
      </c>
      <c r="D52" s="1698" t="s">
        <v>3699</v>
      </c>
      <c r="E52" s="1698" t="s">
        <v>3706</v>
      </c>
      <c r="F52" s="1698" t="s">
        <v>22</v>
      </c>
      <c r="G52" s="1698" t="s">
        <v>22</v>
      </c>
      <c r="H52" s="1698" t="s">
        <v>22</v>
      </c>
      <c r="I52" s="1698" t="s">
        <v>22</v>
      </c>
    </row>
    <row customHeight="1" ht="11.25">
      <c r="A53" s="1698" t="s">
        <v>1201</v>
      </c>
      <c r="B53" s="1698" t="s">
        <v>3722</v>
      </c>
      <c r="C53" s="1698" t="s">
        <v>22</v>
      </c>
      <c r="D53" s="1698" t="s">
        <v>3699</v>
      </c>
      <c r="E53" s="1698" t="s">
        <v>3658</v>
      </c>
      <c r="F53" s="1698" t="s">
        <v>22</v>
      </c>
      <c r="G53" s="1698" t="s">
        <v>22</v>
      </c>
      <c r="H53" s="1698" t="s">
        <v>22</v>
      </c>
      <c r="I53" s="1698" t="s">
        <v>22</v>
      </c>
    </row>
    <row customHeight="1" ht="11.25">
      <c r="A54" s="1698" t="s">
        <v>1203</v>
      </c>
      <c r="B54" s="1698" t="s">
        <v>3723</v>
      </c>
      <c r="C54" s="1698" t="s">
        <v>22</v>
      </c>
      <c r="D54" s="1698" t="s">
        <v>3663</v>
      </c>
      <c r="E54" s="1698" t="s">
        <v>3686</v>
      </c>
      <c r="F54" s="1698" t="s">
        <v>22</v>
      </c>
      <c r="G54" s="1698" t="s">
        <v>22</v>
      </c>
      <c r="H54" s="1698" t="s">
        <v>22</v>
      </c>
      <c r="I54" s="1698" t="s">
        <v>22</v>
      </c>
    </row>
    <row customHeight="1" ht="11.25">
      <c r="A55" s="1698" t="s">
        <v>1205</v>
      </c>
      <c r="B55" s="1698" t="s">
        <v>3724</v>
      </c>
      <c r="C55" s="1698" t="s">
        <v>22</v>
      </c>
      <c r="D55" s="1698" t="s">
        <v>3699</v>
      </c>
      <c r="E55" s="1698" t="s">
        <v>3706</v>
      </c>
      <c r="F55" s="1698" t="s">
        <v>22</v>
      </c>
      <c r="G55" s="1698" t="s">
        <v>22</v>
      </c>
      <c r="H55" s="1698" t="s">
        <v>22</v>
      </c>
      <c r="I55" s="1698" t="s">
        <v>22</v>
      </c>
    </row>
    <row customHeight="1" ht="11.25">
      <c r="A56" s="1698" t="s">
        <v>1207</v>
      </c>
      <c r="B56" s="1698" t="s">
        <v>3725</v>
      </c>
      <c r="C56" s="1698" t="s">
        <v>22</v>
      </c>
      <c r="D56" s="1698" t="s">
        <v>3663</v>
      </c>
      <c r="E56" s="1698" t="s">
        <v>3709</v>
      </c>
      <c r="F56" s="1698" t="s">
        <v>22</v>
      </c>
      <c r="G56" s="1698" t="s">
        <v>22</v>
      </c>
      <c r="H56" s="1698" t="s">
        <v>22</v>
      </c>
      <c r="I56" s="1698" t="s">
        <v>22</v>
      </c>
    </row>
    <row customHeight="1" ht="11.25">
      <c r="A57" s="1698" t="s">
        <v>1209</v>
      </c>
      <c r="B57" s="1698" t="s">
        <v>3726</v>
      </c>
      <c r="C57" s="1698" t="s">
        <v>22</v>
      </c>
      <c r="D57" s="1698" t="s">
        <v>3663</v>
      </c>
      <c r="E57" s="1698" t="s">
        <v>3658</v>
      </c>
      <c r="F57" s="1698" t="s">
        <v>22</v>
      </c>
      <c r="G57" s="1698" t="s">
        <v>22</v>
      </c>
      <c r="H57" s="1698" t="s">
        <v>22</v>
      </c>
      <c r="I57" s="1698" t="s">
        <v>22</v>
      </c>
    </row>
    <row customHeight="1" ht="11.25">
      <c r="A58" s="1698" t="s">
        <v>1211</v>
      </c>
      <c r="B58" s="1698" t="s">
        <v>3727</v>
      </c>
      <c r="C58" s="1698" t="s">
        <v>22</v>
      </c>
      <c r="D58" s="1698" t="s">
        <v>3663</v>
      </c>
      <c r="E58" s="1698" t="s">
        <v>3709</v>
      </c>
      <c r="F58" s="1698" t="s">
        <v>22</v>
      </c>
      <c r="G58" s="1698" t="s">
        <v>22</v>
      </c>
      <c r="H58" s="1698" t="s">
        <v>22</v>
      </c>
      <c r="I58" s="1698" t="s">
        <v>22</v>
      </c>
    </row>
    <row customHeight="1" ht="11.25">
      <c r="A59" s="1698" t="s">
        <v>1213</v>
      </c>
      <c r="B59" s="1698" t="s">
        <v>3728</v>
      </c>
      <c r="C59" s="1698" t="s">
        <v>22</v>
      </c>
      <c r="D59" s="1698" t="s">
        <v>3729</v>
      </c>
      <c r="E59" s="1698" t="s">
        <v>3661</v>
      </c>
      <c r="F59" s="1698" t="s">
        <v>22</v>
      </c>
      <c r="G59" s="1698" t="s">
        <v>22</v>
      </c>
      <c r="H59" s="1698" t="s">
        <v>22</v>
      </c>
      <c r="I59" s="1698" t="s">
        <v>22</v>
      </c>
    </row>
    <row customHeight="1" ht="11.25">
      <c r="A60" s="1698" t="s">
        <v>1857</v>
      </c>
      <c r="B60" s="1698" t="s">
        <v>3730</v>
      </c>
      <c r="C60" s="1698" t="s">
        <v>22</v>
      </c>
      <c r="D60" s="1698" t="s">
        <v>3731</v>
      </c>
      <c r="E60" s="1698" t="s">
        <v>3661</v>
      </c>
      <c r="F60" s="1698" t="s">
        <v>22</v>
      </c>
      <c r="G60" s="1698" t="s">
        <v>22</v>
      </c>
      <c r="H60" s="1698" t="s">
        <v>22</v>
      </c>
      <c r="I60" s="1698" t="s">
        <v>22</v>
      </c>
    </row>
    <row customHeight="1" ht="11.25">
      <c r="A61" s="1698" t="s">
        <v>3414</v>
      </c>
      <c r="B61" s="1698" t="s">
        <v>3732</v>
      </c>
      <c r="C61" s="1698" t="s">
        <v>22</v>
      </c>
      <c r="D61" s="1698" t="s">
        <v>3733</v>
      </c>
      <c r="E61" s="1698" t="s">
        <v>3661</v>
      </c>
      <c r="F61" s="1698" t="s">
        <v>22</v>
      </c>
      <c r="G61" s="1698" t="s">
        <v>22</v>
      </c>
      <c r="H61" s="1698" t="s">
        <v>22</v>
      </c>
      <c r="I61" s="1698" t="s">
        <v>22</v>
      </c>
    </row>
    <row customHeight="1" ht="11.25">
      <c r="A62" s="1698" t="s">
        <v>3417</v>
      </c>
      <c r="B62" s="1698" t="s">
        <v>3734</v>
      </c>
      <c r="C62" s="1698" t="s">
        <v>22</v>
      </c>
      <c r="D62" s="1698" t="s">
        <v>3671</v>
      </c>
      <c r="E62" s="1698" t="s">
        <v>3661</v>
      </c>
      <c r="F62" s="1698" t="s">
        <v>22</v>
      </c>
      <c r="G62" s="1698" t="s">
        <v>22</v>
      </c>
      <c r="H62" s="1698" t="s">
        <v>22</v>
      </c>
      <c r="I62" s="1698" t="s">
        <v>22</v>
      </c>
    </row>
    <row customHeight="1" ht="11.25">
      <c r="A63" s="1698" t="s">
        <v>3420</v>
      </c>
      <c r="B63" s="1698" t="s">
        <v>3735</v>
      </c>
      <c r="C63" s="1698" t="s">
        <v>22</v>
      </c>
      <c r="D63" s="1698" t="s">
        <v>3671</v>
      </c>
      <c r="E63" s="1698" t="s">
        <v>3661</v>
      </c>
      <c r="F63" s="1698" t="s">
        <v>22</v>
      </c>
      <c r="G63" s="1698" t="s">
        <v>22</v>
      </c>
      <c r="H63" s="1698" t="s">
        <v>22</v>
      </c>
      <c r="I63" s="1698" t="s">
        <v>22</v>
      </c>
    </row>
    <row customHeight="1" ht="11.25">
      <c r="A64" s="1698" t="s">
        <v>3423</v>
      </c>
      <c r="B64" s="1698" t="s">
        <v>3736</v>
      </c>
      <c r="C64" s="1698" t="s">
        <v>22</v>
      </c>
      <c r="D64" s="1698" t="s">
        <v>3708</v>
      </c>
      <c r="E64" s="1698" t="s">
        <v>3661</v>
      </c>
      <c r="F64" s="1698" t="s">
        <v>22</v>
      </c>
      <c r="G64" s="1698" t="s">
        <v>22</v>
      </c>
      <c r="H64" s="1698" t="s">
        <v>22</v>
      </c>
      <c r="I64" s="1698" t="s">
        <v>22</v>
      </c>
    </row>
    <row customHeight="1" ht="11.25">
      <c r="A65" s="1698" t="s">
        <v>3426</v>
      </c>
      <c r="B65" s="1698" t="s">
        <v>3737</v>
      </c>
      <c r="C65" s="1698" t="s">
        <v>22</v>
      </c>
      <c r="D65" s="1698" t="s">
        <v>3663</v>
      </c>
      <c r="E65" s="1698" t="s">
        <v>3738</v>
      </c>
      <c r="F65" s="1698" t="s">
        <v>22</v>
      </c>
      <c r="G65" s="1698" t="s">
        <v>22</v>
      </c>
      <c r="H65" s="1698" t="s">
        <v>22</v>
      </c>
      <c r="I65" s="1698" t="s">
        <v>22</v>
      </c>
    </row>
    <row customHeight="1" ht="11.25">
      <c r="A66" s="1698" t="s">
        <v>3429</v>
      </c>
      <c r="B66" s="1698" t="s">
        <v>3739</v>
      </c>
      <c r="C66" s="1698" t="s">
        <v>22</v>
      </c>
      <c r="D66" s="1698" t="s">
        <v>3740</v>
      </c>
      <c r="E66" s="1698" t="s">
        <v>3661</v>
      </c>
      <c r="F66" s="1698" t="s">
        <v>22</v>
      </c>
      <c r="G66" s="1698" t="s">
        <v>22</v>
      </c>
      <c r="H66" s="1698" t="s">
        <v>22</v>
      </c>
      <c r="I66" s="1698" t="s">
        <v>22</v>
      </c>
    </row>
    <row customHeight="1" ht="11.25">
      <c r="A67" s="1698" t="s">
        <v>2168</v>
      </c>
      <c r="B67" s="1698" t="s">
        <v>3741</v>
      </c>
      <c r="C67" s="1698" t="s">
        <v>22</v>
      </c>
      <c r="D67" s="1698" t="s">
        <v>3663</v>
      </c>
      <c r="E67" s="1698" t="s">
        <v>3661</v>
      </c>
      <c r="F67" s="1698" t="s">
        <v>22</v>
      </c>
      <c r="G67" s="1698" t="s">
        <v>22</v>
      </c>
      <c r="H67" s="1698" t="s">
        <v>22</v>
      </c>
      <c r="I67" s="1698" t="s">
        <v>22</v>
      </c>
    </row>
    <row customHeight="1" ht="11.25">
      <c r="A68" s="1698" t="s">
        <v>3436</v>
      </c>
      <c r="B68" s="1698" t="s">
        <v>3742</v>
      </c>
      <c r="C68" s="1698" t="s">
        <v>22</v>
      </c>
      <c r="D68" s="1698" t="s">
        <v>3743</v>
      </c>
      <c r="E68" s="1698" t="s">
        <v>3738</v>
      </c>
      <c r="F68" s="1698" t="s">
        <v>22</v>
      </c>
      <c r="G68" s="1698" t="s">
        <v>22</v>
      </c>
      <c r="H68" s="1698" t="s">
        <v>22</v>
      </c>
      <c r="I68" s="1698" t="s">
        <v>22</v>
      </c>
    </row>
    <row customHeight="1" ht="11.25">
      <c r="A69" s="1698" t="s">
        <v>2368</v>
      </c>
      <c r="B69" s="1698" t="s">
        <v>3744</v>
      </c>
      <c r="C69" s="1698" t="s">
        <v>22</v>
      </c>
      <c r="D69" s="1698" t="s">
        <v>3743</v>
      </c>
      <c r="E69" s="1698" t="s">
        <v>3738</v>
      </c>
      <c r="F69" s="1698" t="s">
        <v>22</v>
      </c>
      <c r="G69" s="1698" t="s">
        <v>22</v>
      </c>
      <c r="H69" s="1698" t="s">
        <v>22</v>
      </c>
      <c r="I69" s="1698" t="s">
        <v>22</v>
      </c>
    </row>
    <row customHeight="1" ht="11.25">
      <c r="A70" s="1698" t="s">
        <v>3439</v>
      </c>
      <c r="B70" s="1698" t="s">
        <v>3745</v>
      </c>
      <c r="C70" s="1698" t="s">
        <v>22</v>
      </c>
      <c r="D70" s="1698" t="s">
        <v>3743</v>
      </c>
      <c r="E70" s="1698" t="s">
        <v>3738</v>
      </c>
      <c r="F70" s="1698" t="s">
        <v>22</v>
      </c>
      <c r="G70" s="1698" t="s">
        <v>22</v>
      </c>
      <c r="H70" s="1698" t="s">
        <v>22</v>
      </c>
      <c r="I70" s="1698" t="s">
        <v>22</v>
      </c>
    </row>
    <row customHeight="1" ht="11.25">
      <c r="A71" s="1698" t="s">
        <v>3442</v>
      </c>
      <c r="B71" s="1698" t="s">
        <v>3746</v>
      </c>
      <c r="C71" s="1698" t="s">
        <v>22</v>
      </c>
      <c r="D71" s="1698" t="s">
        <v>3743</v>
      </c>
      <c r="E71" s="1698" t="s">
        <v>3738</v>
      </c>
      <c r="F71" s="1698" t="s">
        <v>22</v>
      </c>
      <c r="G71" s="1698" t="s">
        <v>22</v>
      </c>
      <c r="H71" s="1698" t="s">
        <v>22</v>
      </c>
      <c r="I71" s="1698" t="s">
        <v>22</v>
      </c>
    </row>
    <row customHeight="1" ht="11.25">
      <c r="A72" s="1698" t="s">
        <v>3445</v>
      </c>
      <c r="B72" s="1698" t="s">
        <v>3747</v>
      </c>
      <c r="C72" s="1698" t="s">
        <v>22</v>
      </c>
      <c r="D72" s="1698" t="s">
        <v>3708</v>
      </c>
      <c r="E72" s="1698" t="s">
        <v>3689</v>
      </c>
      <c r="F72" s="1698" t="s">
        <v>22</v>
      </c>
      <c r="G72" s="1698" t="s">
        <v>22</v>
      </c>
      <c r="H72" s="1698" t="s">
        <v>22</v>
      </c>
      <c r="I72" s="1698" t="s">
        <v>22</v>
      </c>
    </row>
    <row customHeight="1" ht="11.25">
      <c r="A73" s="1698" t="s">
        <v>3448</v>
      </c>
      <c r="B73" s="1698" t="s">
        <v>3748</v>
      </c>
      <c r="C73" s="1698" t="s">
        <v>22</v>
      </c>
      <c r="D73" s="1698" t="s">
        <v>3663</v>
      </c>
      <c r="E73" s="1698" t="s">
        <v>3686</v>
      </c>
      <c r="F73" s="1698" t="s">
        <v>22</v>
      </c>
      <c r="G73" s="1698" t="s">
        <v>22</v>
      </c>
      <c r="H73" s="1698" t="s">
        <v>22</v>
      </c>
      <c r="I73" s="1698" t="s">
        <v>22</v>
      </c>
    </row>
    <row customHeight="1" ht="11.25">
      <c r="A74" s="1698" t="s">
        <v>3451</v>
      </c>
      <c r="B74" s="1698" t="s">
        <v>3749</v>
      </c>
      <c r="C74" s="1698" t="s">
        <v>22</v>
      </c>
      <c r="D74" s="1698" t="s">
        <v>3660</v>
      </c>
      <c r="E74" s="1698" t="s">
        <v>3661</v>
      </c>
      <c r="F74" s="1698" t="s">
        <v>22</v>
      </c>
      <c r="G74" s="1698" t="s">
        <v>22</v>
      </c>
      <c r="H74" s="1698" t="s">
        <v>22</v>
      </c>
      <c r="I74" s="1698" t="s">
        <v>22</v>
      </c>
    </row>
    <row customHeight="1" ht="11.25">
      <c r="A75" s="1698" t="s">
        <v>3454</v>
      </c>
      <c r="B75" s="1698" t="s">
        <v>3750</v>
      </c>
      <c r="C75" s="1698" t="s">
        <v>22</v>
      </c>
      <c r="D75" s="1698" t="s">
        <v>3699</v>
      </c>
      <c r="E75" s="1698" t="s">
        <v>3658</v>
      </c>
      <c r="F75" s="1698" t="s">
        <v>22</v>
      </c>
      <c r="G75" s="1698" t="s">
        <v>22</v>
      </c>
      <c r="H75" s="1698" t="s">
        <v>22</v>
      </c>
      <c r="I75" s="1698" t="s">
        <v>22</v>
      </c>
    </row>
    <row customHeight="1" ht="11.25">
      <c r="A76" s="1698" t="s">
        <v>3457</v>
      </c>
      <c r="B76" s="1698" t="s">
        <v>3751</v>
      </c>
      <c r="C76" s="1698" t="s">
        <v>22</v>
      </c>
      <c r="D76" s="1698" t="s">
        <v>3663</v>
      </c>
      <c r="E76" s="1698" t="s">
        <v>3738</v>
      </c>
      <c r="F76" s="1698" t="s">
        <v>22</v>
      </c>
      <c r="G76" s="1698" t="s">
        <v>22</v>
      </c>
      <c r="H76" s="1698" t="s">
        <v>22</v>
      </c>
      <c r="I76" s="1698" t="s">
        <v>22</v>
      </c>
    </row>
    <row customHeight="1" ht="11.25">
      <c r="A77" s="1698" t="s">
        <v>3460</v>
      </c>
      <c r="B77" s="1698" t="s">
        <v>3752</v>
      </c>
      <c r="C77" s="1698" t="s">
        <v>22</v>
      </c>
      <c r="D77" s="1698" t="s">
        <v>3663</v>
      </c>
      <c r="E77" s="1698" t="s">
        <v>3738</v>
      </c>
      <c r="F77" s="1698" t="s">
        <v>22</v>
      </c>
      <c r="G77" s="1698" t="s">
        <v>22</v>
      </c>
      <c r="H77" s="1698" t="s">
        <v>22</v>
      </c>
      <c r="I77" s="1698" t="s">
        <v>22</v>
      </c>
    </row>
    <row customHeight="1" ht="11.25">
      <c r="A78" s="1698" t="s">
        <v>3463</v>
      </c>
      <c r="B78" s="1698" t="s">
        <v>3753</v>
      </c>
      <c r="C78" s="1698" t="s">
        <v>22</v>
      </c>
      <c r="D78" s="1698" t="s">
        <v>3663</v>
      </c>
      <c r="E78" s="1698" t="s">
        <v>3738</v>
      </c>
      <c r="F78" s="1698" t="s">
        <v>22</v>
      </c>
      <c r="G78" s="1698" t="s">
        <v>22</v>
      </c>
      <c r="H78" s="1698" t="s">
        <v>22</v>
      </c>
      <c r="I78" s="1698" t="s">
        <v>22</v>
      </c>
    </row>
    <row customHeight="1" ht="11.25">
      <c r="A79" s="1698" t="s">
        <v>3466</v>
      </c>
      <c r="B79" s="1698" t="s">
        <v>3754</v>
      </c>
      <c r="C79" s="1698" t="s">
        <v>22</v>
      </c>
      <c r="D79" s="1698" t="s">
        <v>3663</v>
      </c>
      <c r="E79" s="1698" t="s">
        <v>3738</v>
      </c>
      <c r="F79" s="1698" t="s">
        <v>22</v>
      </c>
      <c r="G79" s="1698" t="s">
        <v>22</v>
      </c>
      <c r="H79" s="1698" t="s">
        <v>22</v>
      </c>
      <c r="I79" s="1698" t="s">
        <v>22</v>
      </c>
    </row>
    <row customHeight="1" ht="11.25">
      <c r="A80" s="1698" t="s">
        <v>3469</v>
      </c>
      <c r="B80" s="1698" t="s">
        <v>3755</v>
      </c>
      <c r="C80" s="1698" t="s">
        <v>22</v>
      </c>
      <c r="D80" s="1698" t="s">
        <v>3704</v>
      </c>
      <c r="E80" s="1698" t="s">
        <v>3661</v>
      </c>
      <c r="F80" s="1698" t="s">
        <v>22</v>
      </c>
      <c r="G80" s="1698" t="s">
        <v>22</v>
      </c>
      <c r="H80" s="1698" t="s">
        <v>22</v>
      </c>
      <c r="I80" s="1698" t="s">
        <v>22</v>
      </c>
    </row>
    <row customHeight="1" ht="11.25">
      <c r="A81" s="1698" t="s">
        <v>3474</v>
      </c>
      <c r="B81" s="1698" t="s">
        <v>3756</v>
      </c>
      <c r="C81" s="1698" t="s">
        <v>22</v>
      </c>
      <c r="D81" s="1698" t="s">
        <v>3688</v>
      </c>
      <c r="E81" s="1698" t="s">
        <v>3757</v>
      </c>
      <c r="F81" s="1698" t="s">
        <v>22</v>
      </c>
      <c r="G81" s="1698" t="s">
        <v>22</v>
      </c>
      <c r="H81" s="1698" t="s">
        <v>22</v>
      </c>
      <c r="I81" s="1698" t="s">
        <v>22</v>
      </c>
    </row>
    <row customHeight="1" ht="11.25">
      <c r="A82" s="1698" t="s">
        <v>3477</v>
      </c>
      <c r="B82" s="1698" t="s">
        <v>3758</v>
      </c>
      <c r="C82" s="1698" t="s">
        <v>22</v>
      </c>
      <c r="D82" s="1698" t="s">
        <v>3759</v>
      </c>
      <c r="E82" s="1698" t="s">
        <v>3686</v>
      </c>
      <c r="F82" s="1698" t="s">
        <v>22</v>
      </c>
      <c r="G82" s="1698" t="s">
        <v>22</v>
      </c>
      <c r="H82" s="1698" t="s">
        <v>22</v>
      </c>
      <c r="I82" s="1698" t="s">
        <v>22</v>
      </c>
    </row>
    <row customHeight="1" ht="11.25">
      <c r="A83" s="1698" t="s">
        <v>3480</v>
      </c>
      <c r="B83" s="1698" t="s">
        <v>3760</v>
      </c>
      <c r="C83" s="1698" t="s">
        <v>22</v>
      </c>
      <c r="D83" s="1698" t="s">
        <v>3708</v>
      </c>
      <c r="E83" s="1698" t="s">
        <v>3686</v>
      </c>
      <c r="F83" s="1698" t="s">
        <v>22</v>
      </c>
      <c r="G83" s="1698" t="s">
        <v>22</v>
      </c>
      <c r="H83" s="1698" t="s">
        <v>22</v>
      </c>
      <c r="I83" s="1698" t="s">
        <v>22</v>
      </c>
    </row>
    <row customHeight="1" ht="11.25">
      <c r="A84" s="1698" t="s">
        <v>3483</v>
      </c>
      <c r="B84" s="1698" t="s">
        <v>3761</v>
      </c>
      <c r="C84" s="1698" t="s">
        <v>22</v>
      </c>
      <c r="D84" s="1698" t="s">
        <v>3708</v>
      </c>
      <c r="E84" s="1698" t="s">
        <v>3762</v>
      </c>
      <c r="F84" s="1698" t="s">
        <v>22</v>
      </c>
      <c r="G84" s="1698" t="s">
        <v>22</v>
      </c>
      <c r="H84" s="1698" t="s">
        <v>22</v>
      </c>
      <c r="I84" s="1698" t="s">
        <v>22</v>
      </c>
    </row>
    <row customHeight="1" ht="11.25">
      <c r="A85" s="1698" t="s">
        <v>3486</v>
      </c>
      <c r="B85" s="1698" t="s">
        <v>3763</v>
      </c>
      <c r="C85" s="1698" t="s">
        <v>22</v>
      </c>
      <c r="D85" s="1698" t="s">
        <v>3708</v>
      </c>
      <c r="E85" s="1698" t="s">
        <v>3764</v>
      </c>
      <c r="F85" s="1698" t="s">
        <v>22</v>
      </c>
      <c r="G85" s="1698" t="s">
        <v>22</v>
      </c>
      <c r="H85" s="1698" t="s">
        <v>22</v>
      </c>
      <c r="I85" s="1698" t="s">
        <v>22</v>
      </c>
    </row>
    <row customHeight="1" ht="11.25">
      <c r="A86" s="1698" t="s">
        <v>3489</v>
      </c>
      <c r="B86" s="1698" t="s">
        <v>3765</v>
      </c>
      <c r="C86" s="1698" t="s">
        <v>22</v>
      </c>
      <c r="D86" s="1698" t="s">
        <v>3708</v>
      </c>
      <c r="E86" s="1698" t="s">
        <v>3764</v>
      </c>
      <c r="F86" s="1698" t="s">
        <v>22</v>
      </c>
      <c r="G86" s="1698" t="s">
        <v>22</v>
      </c>
      <c r="H86" s="1698" t="s">
        <v>22</v>
      </c>
      <c r="I86" s="1698" t="s">
        <v>22</v>
      </c>
    </row>
    <row customHeight="1" ht="11.25">
      <c r="A87" s="1698" t="s">
        <v>3492</v>
      </c>
      <c r="B87" s="1698" t="s">
        <v>3766</v>
      </c>
      <c r="C87" s="1698" t="s">
        <v>22</v>
      </c>
      <c r="D87" s="1698" t="s">
        <v>3708</v>
      </c>
      <c r="E87" s="1698" t="s">
        <v>3764</v>
      </c>
      <c r="F87" s="1698" t="s">
        <v>22</v>
      </c>
      <c r="G87" s="1698" t="s">
        <v>22</v>
      </c>
      <c r="H87" s="1698" t="s">
        <v>22</v>
      </c>
      <c r="I87" s="1698" t="s">
        <v>22</v>
      </c>
    </row>
    <row customHeight="1" ht="11.25">
      <c r="A88" s="1698" t="s">
        <v>3493</v>
      </c>
      <c r="B88" s="1698" t="s">
        <v>3767</v>
      </c>
      <c r="C88" s="1698" t="s">
        <v>22</v>
      </c>
      <c r="D88" s="1698" t="s">
        <v>3708</v>
      </c>
      <c r="E88" s="1698" t="s">
        <v>3661</v>
      </c>
      <c r="F88" s="1698" t="s">
        <v>22</v>
      </c>
      <c r="G88" s="1698" t="s">
        <v>22</v>
      </c>
      <c r="H88" s="1698" t="s">
        <v>22</v>
      </c>
      <c r="I88" s="1698" t="s">
        <v>22</v>
      </c>
    </row>
    <row customHeight="1" ht="11.25">
      <c r="A89" s="1698" t="s">
        <v>3496</v>
      </c>
      <c r="B89" s="1698" t="s">
        <v>3768</v>
      </c>
      <c r="C89" s="1698" t="s">
        <v>22</v>
      </c>
      <c r="D89" s="1698" t="s">
        <v>3704</v>
      </c>
      <c r="E89" s="1698" t="s">
        <v>3661</v>
      </c>
      <c r="F89" s="1698" t="s">
        <v>22</v>
      </c>
      <c r="G89" s="1698" t="s">
        <v>22</v>
      </c>
      <c r="H89" s="1698" t="s">
        <v>22</v>
      </c>
      <c r="I89" s="1698" t="s">
        <v>22</v>
      </c>
    </row>
    <row customHeight="1" ht="11.25">
      <c r="A90" s="1698" t="s">
        <v>3499</v>
      </c>
      <c r="B90" s="1698" t="s">
        <v>3769</v>
      </c>
      <c r="C90" s="1698" t="s">
        <v>22</v>
      </c>
      <c r="D90" s="1698" t="s">
        <v>3708</v>
      </c>
      <c r="E90" s="1698" t="s">
        <v>3686</v>
      </c>
      <c r="F90" s="1698" t="s">
        <v>22</v>
      </c>
      <c r="G90" s="1698" t="s">
        <v>22</v>
      </c>
      <c r="H90" s="1698" t="s">
        <v>22</v>
      </c>
      <c r="I90" s="1698" t="s">
        <v>22</v>
      </c>
    </row>
    <row customHeight="1" ht="11.25">
      <c r="A91" s="1698" t="s">
        <v>3502</v>
      </c>
      <c r="B91" s="1698" t="s">
        <v>3770</v>
      </c>
      <c r="C91" s="1698" t="s">
        <v>22</v>
      </c>
      <c r="D91" s="1698" t="s">
        <v>3771</v>
      </c>
      <c r="E91" s="1698" t="s">
        <v>3772</v>
      </c>
      <c r="F91" s="1698" t="s">
        <v>22</v>
      </c>
      <c r="G91" s="1698" t="s">
        <v>22</v>
      </c>
      <c r="H91" s="1698" t="s">
        <v>22</v>
      </c>
      <c r="I91" s="1698" t="s">
        <v>22</v>
      </c>
    </row>
    <row customHeight="1" ht="11.25">
      <c r="A92" s="1698" t="s">
        <v>3505</v>
      </c>
      <c r="B92" s="1698" t="s">
        <v>3773</v>
      </c>
      <c r="C92" s="1698" t="s">
        <v>22</v>
      </c>
      <c r="D92" s="1698" t="s">
        <v>3663</v>
      </c>
      <c r="E92" s="1698" t="s">
        <v>3738</v>
      </c>
      <c r="F92" s="1698" t="s">
        <v>22</v>
      </c>
      <c r="G92" s="1698" t="s">
        <v>22</v>
      </c>
      <c r="H92" s="1698" t="s">
        <v>22</v>
      </c>
      <c r="I92" s="1698" t="s">
        <v>22</v>
      </c>
    </row>
    <row customHeight="1" ht="11.25">
      <c r="A93" s="1698" t="s">
        <v>3510</v>
      </c>
      <c r="B93" s="1698" t="s">
        <v>3774</v>
      </c>
      <c r="C93" s="1698" t="s">
        <v>22</v>
      </c>
      <c r="D93" s="1698" t="s">
        <v>3775</v>
      </c>
      <c r="E93" s="1698" t="s">
        <v>3661</v>
      </c>
      <c r="F93" s="1698" t="s">
        <v>22</v>
      </c>
      <c r="G93" s="1698" t="s">
        <v>22</v>
      </c>
      <c r="H93" s="1698" t="s">
        <v>22</v>
      </c>
      <c r="I93" s="1698" t="s">
        <v>22</v>
      </c>
    </row>
    <row customHeight="1" ht="11.25">
      <c r="A94" s="1698" t="s">
        <v>3513</v>
      </c>
      <c r="B94" s="1698" t="s">
        <v>3776</v>
      </c>
      <c r="C94" s="1698" t="s">
        <v>22</v>
      </c>
      <c r="D94" s="1698" t="s">
        <v>3777</v>
      </c>
      <c r="E94" s="1698" t="s">
        <v>3778</v>
      </c>
      <c r="F94" s="1698" t="s">
        <v>22</v>
      </c>
      <c r="G94" s="1698" t="s">
        <v>22</v>
      </c>
      <c r="H94" s="1698" t="s">
        <v>22</v>
      </c>
      <c r="I94" s="1698" t="s">
        <v>22</v>
      </c>
    </row>
    <row customHeight="1" ht="11.25">
      <c r="A95" s="1698" t="s">
        <v>3516</v>
      </c>
      <c r="B95" s="1698" t="s">
        <v>3779</v>
      </c>
      <c r="C95" s="1698" t="s">
        <v>22</v>
      </c>
      <c r="D95" s="1698" t="s">
        <v>3780</v>
      </c>
      <c r="E95" s="1698" t="s">
        <v>3764</v>
      </c>
      <c r="F95" s="1698" t="s">
        <v>22</v>
      </c>
      <c r="G95" s="1698" t="s">
        <v>22</v>
      </c>
      <c r="H95" s="1698" t="s">
        <v>22</v>
      </c>
      <c r="I95" s="1698" t="s">
        <v>22</v>
      </c>
    </row>
    <row customHeight="1" ht="11.25">
      <c r="A96" s="1698" t="s">
        <v>3519</v>
      </c>
      <c r="B96" s="1698" t="s">
        <v>3781</v>
      </c>
      <c r="C96" s="1698" t="s">
        <v>22</v>
      </c>
      <c r="D96" s="1698" t="s">
        <v>3663</v>
      </c>
      <c r="E96" s="1698" t="s">
        <v>3661</v>
      </c>
      <c r="F96" s="1698" t="s">
        <v>22</v>
      </c>
      <c r="G96" s="1698" t="s">
        <v>22</v>
      </c>
      <c r="H96" s="1698" t="s">
        <v>22</v>
      </c>
      <c r="I96" s="1698" t="s">
        <v>22</v>
      </c>
    </row>
    <row customHeight="1" ht="11.25">
      <c r="A97" s="1698" t="s">
        <v>3522</v>
      </c>
      <c r="B97" s="1698" t="s">
        <v>3782</v>
      </c>
      <c r="C97" s="1698" t="s">
        <v>22</v>
      </c>
      <c r="D97" s="1698" t="s">
        <v>3688</v>
      </c>
      <c r="E97" s="1698" t="s">
        <v>3783</v>
      </c>
      <c r="F97" s="1698" t="s">
        <v>22</v>
      </c>
      <c r="G97" s="1698" t="s">
        <v>22</v>
      </c>
      <c r="H97" s="1698" t="s">
        <v>22</v>
      </c>
      <c r="I97" s="1698" t="s">
        <v>22</v>
      </c>
    </row>
    <row customHeight="1" ht="11.25">
      <c r="A98" s="1698" t="s">
        <v>3525</v>
      </c>
      <c r="B98" s="1698" t="s">
        <v>3784</v>
      </c>
      <c r="C98" s="1698" t="s">
        <v>22</v>
      </c>
      <c r="D98" s="1698" t="s">
        <v>3785</v>
      </c>
      <c r="E98" s="1698" t="s">
        <v>3661</v>
      </c>
      <c r="F98" s="1698" t="s">
        <v>22</v>
      </c>
      <c r="G98" s="1698" t="s">
        <v>22</v>
      </c>
      <c r="H98" s="1698" t="s">
        <v>22</v>
      </c>
      <c r="I98" s="1698" t="s">
        <v>22</v>
      </c>
    </row>
    <row customHeight="1" ht="11.25">
      <c r="A99" s="1698" t="s">
        <v>3528</v>
      </c>
      <c r="B99" s="1698" t="s">
        <v>3786</v>
      </c>
      <c r="C99" s="1698" t="s">
        <v>22</v>
      </c>
      <c r="D99" s="1698" t="s">
        <v>3688</v>
      </c>
      <c r="E99" s="1698" t="s">
        <v>3689</v>
      </c>
      <c r="F99" s="1698" t="s">
        <v>22</v>
      </c>
      <c r="G99" s="1698" t="s">
        <v>22</v>
      </c>
      <c r="H99" s="1698" t="s">
        <v>22</v>
      </c>
      <c r="I99" s="1698" t="s">
        <v>22</v>
      </c>
    </row>
    <row customHeight="1" ht="11.25">
      <c r="A100" s="1698" t="s">
        <v>3531</v>
      </c>
      <c r="B100" s="1698" t="s">
        <v>3787</v>
      </c>
      <c r="C100" s="1698" t="s">
        <v>22</v>
      </c>
      <c r="D100" s="1698" t="s">
        <v>3788</v>
      </c>
      <c r="E100" s="1698" t="s">
        <v>3789</v>
      </c>
      <c r="F100" s="1698" t="s">
        <v>22</v>
      </c>
      <c r="G100" s="1698" t="s">
        <v>22</v>
      </c>
      <c r="H100" s="1698" t="s">
        <v>22</v>
      </c>
      <c r="I100" s="1698" t="s">
        <v>22</v>
      </c>
    </row>
    <row customHeight="1" ht="11.25">
      <c r="A101" s="1698" t="s">
        <v>3534</v>
      </c>
      <c r="B101" s="1698" t="s">
        <v>3790</v>
      </c>
      <c r="C101" s="1698" t="s">
        <v>22</v>
      </c>
      <c r="D101" s="1698" t="s">
        <v>3663</v>
      </c>
      <c r="E101" s="1698" t="s">
        <v>3691</v>
      </c>
      <c r="F101" s="1698" t="s">
        <v>22</v>
      </c>
      <c r="G101" s="1698" t="s">
        <v>22</v>
      </c>
      <c r="H101" s="1698" t="s">
        <v>22</v>
      </c>
      <c r="I101" s="1698" t="s">
        <v>22</v>
      </c>
    </row>
    <row customHeight="1" ht="11.25">
      <c r="A102" s="1698" t="s">
        <v>3535</v>
      </c>
      <c r="B102" s="1698" t="s">
        <v>3791</v>
      </c>
      <c r="C102" s="1698" t="s">
        <v>22</v>
      </c>
      <c r="D102" s="1698" t="s">
        <v>3663</v>
      </c>
      <c r="E102" s="1698" t="s">
        <v>3783</v>
      </c>
      <c r="F102" s="1698" t="s">
        <v>22</v>
      </c>
      <c r="G102" s="1698" t="s">
        <v>22</v>
      </c>
      <c r="H102" s="1698" t="s">
        <v>22</v>
      </c>
      <c r="I102" s="1698" t="s">
        <v>22</v>
      </c>
    </row>
    <row customHeight="1" ht="11.25">
      <c r="A103" s="1698" t="s">
        <v>3538</v>
      </c>
      <c r="B103" s="1698" t="s">
        <v>3792</v>
      </c>
      <c r="C103" s="1698" t="s">
        <v>22</v>
      </c>
      <c r="D103" s="1698" t="s">
        <v>3793</v>
      </c>
      <c r="E103" s="1698" t="s">
        <v>3691</v>
      </c>
      <c r="F103" s="1698" t="s">
        <v>22</v>
      </c>
      <c r="G103" s="1698" t="s">
        <v>22</v>
      </c>
      <c r="H103" s="1698" t="s">
        <v>22</v>
      </c>
      <c r="I103" s="1698" t="s">
        <v>22</v>
      </c>
    </row>
    <row customHeight="1" ht="11.25">
      <c r="A104" s="1698" t="s">
        <v>3541</v>
      </c>
      <c r="B104" s="1698" t="s">
        <v>3794</v>
      </c>
      <c r="C104" s="1698" t="s">
        <v>22</v>
      </c>
      <c r="D104" s="1698" t="s">
        <v>3708</v>
      </c>
      <c r="E104" s="1698" t="s">
        <v>3689</v>
      </c>
      <c r="F104" s="1698" t="s">
        <v>22</v>
      </c>
      <c r="G104" s="1698" t="s">
        <v>22</v>
      </c>
      <c r="H104" s="1698" t="s">
        <v>22</v>
      </c>
      <c r="I104" s="1698" t="s">
        <v>22</v>
      </c>
    </row>
    <row customHeight="1" ht="11.25">
      <c r="A105" s="1698" t="s">
        <v>3544</v>
      </c>
      <c r="B105" s="1698" t="s">
        <v>3795</v>
      </c>
      <c r="C105" s="1698" t="s">
        <v>22</v>
      </c>
      <c r="D105" s="1698" t="s">
        <v>3796</v>
      </c>
      <c r="E105" s="1698" t="s">
        <v>3689</v>
      </c>
      <c r="F105" s="1698" t="s">
        <v>22</v>
      </c>
      <c r="G105" s="1698" t="s">
        <v>22</v>
      </c>
      <c r="H105" s="1698" t="s">
        <v>22</v>
      </c>
      <c r="I105" s="1698" t="s">
        <v>22</v>
      </c>
    </row>
    <row customHeight="1" ht="11.25">
      <c r="A106" s="1698" t="s">
        <v>3547</v>
      </c>
      <c r="B106" s="1698" t="s">
        <v>3797</v>
      </c>
      <c r="C106" s="1698" t="s">
        <v>22</v>
      </c>
      <c r="D106" s="1698" t="s">
        <v>3798</v>
      </c>
      <c r="E106" s="1698" t="s">
        <v>3706</v>
      </c>
      <c r="F106" s="1698" t="s">
        <v>22</v>
      </c>
      <c r="G106" s="1698" t="s">
        <v>22</v>
      </c>
      <c r="H106" s="1698" t="s">
        <v>22</v>
      </c>
      <c r="I106" s="1698"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9DA2D-35B2-37B2-1F54-B6ADDF31F4A6}" mc:Ignorable="x14ac xr xr2 xr3">
  <sheetPr>
    <tabColor rgb="FFFFCC99"/>
  </sheetPr>
  <dimension ref="A1:AL11"/>
  <sheetViews>
    <sheetView topLeftCell="A1" workbookViewId="0">
      <selection activeCell="A1" sqref="A1"/>
    </sheetView>
  </sheetViews>
  <sheetFormatPr customHeight="1" defaultRowHeight="11.25"/>
  <sheetData>
    <row customHeight="1" ht="11.25">
      <c r="A1" s="0" t="s">
        <v>2385</v>
      </c>
      <c r="B1" s="0" t="s">
        <v>2386</v>
      </c>
      <c r="C1" s="0" t="s">
        <v>2387</v>
      </c>
      <c r="D1" s="0" t="s">
        <v>3799</v>
      </c>
      <c r="E1" s="0" t="s">
        <v>3800</v>
      </c>
      <c r="F1" s="0" t="s">
        <v>3801</v>
      </c>
      <c r="G1" s="0" t="s">
        <v>3802</v>
      </c>
      <c r="H1" s="0" t="s">
        <v>3803</v>
      </c>
      <c r="I1" s="0" t="s">
        <v>3804</v>
      </c>
      <c r="J1" s="0" t="s">
        <v>3805</v>
      </c>
      <c r="K1" s="0" t="s">
        <v>3806</v>
      </c>
      <c r="L1" s="0" t="s">
        <v>3807</v>
      </c>
      <c r="M1" s="0" t="s">
        <v>3808</v>
      </c>
      <c r="N1" s="0" t="s">
        <v>3809</v>
      </c>
      <c r="O1" s="0" t="s">
        <v>3287</v>
      </c>
      <c r="P1" s="0" t="s">
        <v>3289</v>
      </c>
      <c r="Q1" s="0" t="s">
        <v>3290</v>
      </c>
      <c r="R1" s="0" t="s">
        <v>3810</v>
      </c>
      <c r="S1" s="0" t="s">
        <v>3811</v>
      </c>
      <c r="T1" s="0" t="s">
        <v>3812</v>
      </c>
      <c r="U1" s="0" t="s">
        <v>3813</v>
      </c>
      <c r="V1" s="0" t="s">
        <v>3814</v>
      </c>
      <c r="W1" s="0" t="s">
        <v>3815</v>
      </c>
      <c r="X1" s="0" t="s">
        <v>3816</v>
      </c>
      <c r="Y1" s="0" t="s">
        <v>3817</v>
      </c>
      <c r="Z1" s="0" t="s">
        <v>3818</v>
      </c>
      <c r="AA1" s="0" t="s">
        <v>3819</v>
      </c>
      <c r="AB1" s="0" t="s">
        <v>3820</v>
      </c>
      <c r="AC1" s="0" t="s">
        <v>3821</v>
      </c>
      <c r="AD1" s="0" t="s">
        <v>3822</v>
      </c>
      <c r="AE1" s="0" t="s">
        <v>3823</v>
      </c>
      <c r="AF1" s="0" t="s">
        <v>3824</v>
      </c>
      <c r="AG1" s="0" t="s">
        <v>3825</v>
      </c>
      <c r="AH1" s="0" t="s">
        <v>3826</v>
      </c>
      <c r="AI1" s="0" t="s">
        <v>3827</v>
      </c>
      <c r="AJ1" s="0" t="s">
        <v>3828</v>
      </c>
      <c r="AK1" s="0" t="s">
        <v>3829</v>
      </c>
      <c r="AL1" s="0" t="s">
        <v>3830</v>
      </c>
    </row>
    <row customHeight="1" ht="11.25">
      <c r="A2" s="0" t="s">
        <v>22</v>
      </c>
      <c r="B2" s="0" t="s">
        <v>48</v>
      </c>
      <c r="C2" s="0" t="s">
        <v>50</v>
      </c>
      <c r="D2" s="0" t="s">
        <v>22</v>
      </c>
      <c r="E2" s="0" t="s">
        <v>3831</v>
      </c>
      <c r="F2" s="0" t="s">
        <v>3832</v>
      </c>
      <c r="G2" s="0" t="s">
        <v>109</v>
      </c>
      <c r="H2" s="0" t="s">
        <v>109</v>
      </c>
      <c r="I2" s="0" t="s">
        <v>3298</v>
      </c>
      <c r="J2" s="0" t="s">
        <v>3833</v>
      </c>
      <c r="K2" s="0" t="s">
        <v>3834</v>
      </c>
      <c r="L2" s="0" t="s">
        <v>3835</v>
      </c>
      <c r="M2" s="0" t="s">
        <v>3836</v>
      </c>
      <c r="N2" s="0" t="s">
        <v>118</v>
      </c>
      <c r="O2" s="0" t="s">
        <v>109</v>
      </c>
      <c r="P2" s="0" t="s">
        <v>109</v>
      </c>
      <c r="Q2" s="0" t="s">
        <v>3298</v>
      </c>
      <c r="R2" s="0" t="s">
        <v>3833</v>
      </c>
      <c r="S2" s="0" t="s">
        <v>3834</v>
      </c>
      <c r="T2" s="0" t="s">
        <v>3837</v>
      </c>
      <c r="U2" s="0" t="s">
        <v>3838</v>
      </c>
      <c r="V2" s="0" t="s">
        <v>592</v>
      </c>
      <c r="W2" s="0" t="s">
        <v>3839</v>
      </c>
      <c r="X2" s="0" t="s">
        <v>3840</v>
      </c>
      <c r="Y2" s="0" t="s">
        <v>3838</v>
      </c>
      <c r="Z2" s="0" t="s">
        <v>3841</v>
      </c>
      <c r="AA2" s="0" t="s">
        <v>3842</v>
      </c>
      <c r="AB2" s="0" t="s">
        <v>592</v>
      </c>
      <c r="AC2" s="0" t="s">
        <v>61</v>
      </c>
      <c r="AD2" s="0" t="s">
        <v>19</v>
      </c>
      <c r="AE2" s="0" t="s">
        <v>19</v>
      </c>
      <c r="AF2" s="0" t="s">
        <v>1133</v>
      </c>
      <c r="AG2" s="0" t="s">
        <v>3843</v>
      </c>
      <c r="AH2" s="0" t="s">
        <v>22</v>
      </c>
      <c r="AI2" s="0" t="s">
        <v>22</v>
      </c>
      <c r="AJ2" s="0" t="s">
        <v>22</v>
      </c>
      <c r="AK2" s="0" t="s">
        <v>22</v>
      </c>
      <c r="AL2" s="0" t="s">
        <v>3844</v>
      </c>
    </row>
    <row customHeight="1" ht="11.25">
      <c r="A3" s="0" t="s">
        <v>22</v>
      </c>
      <c r="B3" s="0" t="s">
        <v>48</v>
      </c>
      <c r="C3" s="0" t="s">
        <v>50</v>
      </c>
      <c r="D3" s="0" t="s">
        <v>22</v>
      </c>
      <c r="E3" s="0" t="s">
        <v>1079</v>
      </c>
      <c r="F3" s="0" t="s">
        <v>3845</v>
      </c>
      <c r="G3" s="0" t="s">
        <v>109</v>
      </c>
      <c r="H3" s="0" t="s">
        <v>109</v>
      </c>
      <c r="I3" s="0" t="s">
        <v>3298</v>
      </c>
      <c r="J3" s="0" t="s">
        <v>3833</v>
      </c>
      <c r="K3" s="0" t="s">
        <v>3834</v>
      </c>
      <c r="L3" s="0" t="s">
        <v>3846</v>
      </c>
      <c r="M3" s="0" t="s">
        <v>798</v>
      </c>
      <c r="N3" s="0" t="s">
        <v>118</v>
      </c>
      <c r="O3" s="0" t="s">
        <v>109</v>
      </c>
      <c r="P3" s="0" t="s">
        <v>109</v>
      </c>
      <c r="Q3" s="0" t="s">
        <v>3298</v>
      </c>
      <c r="R3" s="0" t="s">
        <v>3833</v>
      </c>
      <c r="S3" s="0" t="s">
        <v>3834</v>
      </c>
      <c r="T3" s="0" t="s">
        <v>3847</v>
      </c>
      <c r="U3" s="0" t="s">
        <v>3847</v>
      </c>
      <c r="V3" s="0" t="s">
        <v>3848</v>
      </c>
      <c r="W3" s="0" t="s">
        <v>3839</v>
      </c>
      <c r="X3" s="0" t="s">
        <v>3840</v>
      </c>
      <c r="Y3" s="0" t="s">
        <v>3849</v>
      </c>
      <c r="Z3" s="0" t="s">
        <v>592</v>
      </c>
      <c r="AA3" s="0" t="s">
        <v>798</v>
      </c>
      <c r="AB3" s="0" t="s">
        <v>592</v>
      </c>
      <c r="AC3" s="0" t="s">
        <v>19</v>
      </c>
      <c r="AD3" s="0" t="s">
        <v>61</v>
      </c>
      <c r="AE3" s="0" t="s">
        <v>61</v>
      </c>
      <c r="AF3" s="0" t="s">
        <v>22</v>
      </c>
      <c r="AG3" s="0" t="s">
        <v>22</v>
      </c>
      <c r="AH3" s="0" t="s">
        <v>3850</v>
      </c>
      <c r="AI3" s="0" t="s">
        <v>3851</v>
      </c>
      <c r="AJ3" s="0" t="s">
        <v>3850</v>
      </c>
      <c r="AK3" s="0" t="s">
        <v>3851</v>
      </c>
      <c r="AL3" s="0" t="s">
        <v>22</v>
      </c>
    </row>
    <row customHeight="1" ht="11.25">
      <c r="A4" s="0" t="s">
        <v>22</v>
      </c>
      <c r="B4" s="0" t="s">
        <v>48</v>
      </c>
      <c r="C4" s="0" t="s">
        <v>50</v>
      </c>
      <c r="D4" s="0" t="s">
        <v>22</v>
      </c>
      <c r="E4" s="0" t="s">
        <v>1079</v>
      </c>
      <c r="F4" s="0" t="s">
        <v>1080</v>
      </c>
      <c r="G4" s="0" t="s">
        <v>99</v>
      </c>
      <c r="H4" s="0" t="s">
        <v>99</v>
      </c>
      <c r="I4" s="0" t="s">
        <v>100</v>
      </c>
      <c r="J4" s="0" t="s">
        <v>1081</v>
      </c>
      <c r="K4" s="0" t="s">
        <v>1082</v>
      </c>
      <c r="L4" s="0" t="s">
        <v>1083</v>
      </c>
      <c r="M4" s="0" t="s">
        <v>1084</v>
      </c>
      <c r="N4" s="0" t="s">
        <v>118</v>
      </c>
      <c r="O4" s="0" t="s">
        <v>99</v>
      </c>
      <c r="P4" s="0" t="s">
        <v>99</v>
      </c>
      <c r="Q4" s="0" t="s">
        <v>100</v>
      </c>
      <c r="R4" s="0" t="s">
        <v>1081</v>
      </c>
      <c r="S4" s="0" t="s">
        <v>1082</v>
      </c>
      <c r="T4" s="0" t="s">
        <v>3852</v>
      </c>
      <c r="U4" s="0" t="s">
        <v>3853</v>
      </c>
      <c r="V4" s="0" t="s">
        <v>592</v>
      </c>
      <c r="W4" s="0" t="s">
        <v>3839</v>
      </c>
      <c r="X4" s="0" t="s">
        <v>3854</v>
      </c>
      <c r="Y4" s="0" t="s">
        <v>3855</v>
      </c>
      <c r="Z4" s="0" t="s">
        <v>3856</v>
      </c>
      <c r="AA4" s="0" t="s">
        <v>3857</v>
      </c>
      <c r="AB4" s="0" t="s">
        <v>592</v>
      </c>
      <c r="AC4" s="0" t="s">
        <v>61</v>
      </c>
      <c r="AD4" s="0" t="s">
        <v>61</v>
      </c>
      <c r="AE4" s="0" t="s">
        <v>61</v>
      </c>
      <c r="AF4" s="0" t="s">
        <v>3850</v>
      </c>
      <c r="AG4" s="0" t="s">
        <v>3858</v>
      </c>
      <c r="AH4" s="0" t="s">
        <v>3850</v>
      </c>
      <c r="AI4" s="0" t="s">
        <v>3851</v>
      </c>
      <c r="AJ4" s="0" t="s">
        <v>3850</v>
      </c>
      <c r="AK4" s="0" t="s">
        <v>3851</v>
      </c>
      <c r="AL4" s="0" t="s">
        <v>3859</v>
      </c>
    </row>
    <row customHeight="1" ht="11.25">
      <c r="A5" s="0" t="s">
        <v>22</v>
      </c>
      <c r="B5" s="0" t="s">
        <v>48</v>
      </c>
      <c r="C5" s="0" t="s">
        <v>50</v>
      </c>
      <c r="D5" s="0" t="s">
        <v>22</v>
      </c>
      <c r="E5" s="0" t="s">
        <v>1079</v>
      </c>
      <c r="F5" s="0" t="s">
        <v>1080</v>
      </c>
      <c r="G5" s="0" t="s">
        <v>99</v>
      </c>
      <c r="H5" s="0" t="s">
        <v>99</v>
      </c>
      <c r="I5" s="0" t="s">
        <v>100</v>
      </c>
      <c r="J5" s="0" t="s">
        <v>1081</v>
      </c>
      <c r="K5" s="0" t="s">
        <v>1082</v>
      </c>
      <c r="L5" s="0" t="s">
        <v>1083</v>
      </c>
      <c r="M5" s="0" t="s">
        <v>1084</v>
      </c>
      <c r="N5" s="0" t="s">
        <v>118</v>
      </c>
      <c r="O5" s="0" t="s">
        <v>99</v>
      </c>
      <c r="P5" s="0" t="s">
        <v>99</v>
      </c>
      <c r="Q5" s="0" t="s">
        <v>100</v>
      </c>
      <c r="R5" s="0" t="s">
        <v>1081</v>
      </c>
      <c r="S5" s="0" t="s">
        <v>1082</v>
      </c>
      <c r="T5" s="0" t="s">
        <v>3852</v>
      </c>
      <c r="U5" s="0" t="s">
        <v>3853</v>
      </c>
      <c r="V5" s="0" t="s">
        <v>592</v>
      </c>
      <c r="W5" s="0" t="s">
        <v>3839</v>
      </c>
      <c r="X5" s="0" t="s">
        <v>3854</v>
      </c>
      <c r="Y5" s="0" t="s">
        <v>3855</v>
      </c>
      <c r="Z5" s="0" t="s">
        <v>3856</v>
      </c>
      <c r="AA5" s="0" t="s">
        <v>3857</v>
      </c>
      <c r="AB5" s="0" t="s">
        <v>592</v>
      </c>
      <c r="AC5" s="0" t="s">
        <v>61</v>
      </c>
      <c r="AD5" s="0" t="s">
        <v>61</v>
      </c>
      <c r="AE5" s="0" t="s">
        <v>61</v>
      </c>
      <c r="AF5" s="0" t="s">
        <v>3850</v>
      </c>
      <c r="AG5" s="0" t="s">
        <v>3858</v>
      </c>
      <c r="AH5" s="0" t="s">
        <v>3850</v>
      </c>
      <c r="AI5" s="0" t="s">
        <v>3851</v>
      </c>
      <c r="AJ5" s="0" t="s">
        <v>3850</v>
      </c>
      <c r="AK5" s="0" t="s">
        <v>3851</v>
      </c>
      <c r="AL5" s="0" t="s">
        <v>3860</v>
      </c>
    </row>
    <row customHeight="1" ht="11.25">
      <c r="A6" s="0" t="s">
        <v>22</v>
      </c>
      <c r="B6" s="0" t="s">
        <v>48</v>
      </c>
      <c r="C6" s="0" t="s">
        <v>50</v>
      </c>
      <c r="D6" s="0" t="s">
        <v>22</v>
      </c>
      <c r="E6" s="0" t="s">
        <v>1079</v>
      </c>
      <c r="F6" s="0" t="s">
        <v>3845</v>
      </c>
      <c r="G6" s="0" t="s">
        <v>99</v>
      </c>
      <c r="H6" s="0" t="s">
        <v>99</v>
      </c>
      <c r="I6" s="0" t="s">
        <v>100</v>
      </c>
      <c r="J6" s="0" t="s">
        <v>1081</v>
      </c>
      <c r="K6" s="0" t="s">
        <v>1082</v>
      </c>
      <c r="L6" s="0" t="s">
        <v>1083</v>
      </c>
      <c r="M6" s="0" t="s">
        <v>1084</v>
      </c>
      <c r="N6" s="0" t="s">
        <v>118</v>
      </c>
      <c r="O6" s="0" t="s">
        <v>99</v>
      </c>
      <c r="P6" s="0" t="s">
        <v>99</v>
      </c>
      <c r="Q6" s="0" t="s">
        <v>100</v>
      </c>
      <c r="R6" s="0" t="s">
        <v>1081</v>
      </c>
      <c r="S6" s="0" t="s">
        <v>1082</v>
      </c>
      <c r="T6" s="0" t="s">
        <v>3847</v>
      </c>
      <c r="U6" s="0" t="s">
        <v>3861</v>
      </c>
      <c r="V6" s="0" t="s">
        <v>592</v>
      </c>
      <c r="W6" s="0" t="s">
        <v>3839</v>
      </c>
      <c r="X6" s="0" t="s">
        <v>3840</v>
      </c>
      <c r="Y6" s="0" t="s">
        <v>3849</v>
      </c>
      <c r="Z6" s="0" t="s">
        <v>3862</v>
      </c>
      <c r="AA6" s="0" t="s">
        <v>3863</v>
      </c>
      <c r="AB6" s="0" t="s">
        <v>592</v>
      </c>
      <c r="AC6" s="0" t="s">
        <v>19</v>
      </c>
      <c r="AD6" s="0" t="s">
        <v>61</v>
      </c>
      <c r="AE6" s="0" t="s">
        <v>19</v>
      </c>
      <c r="AF6" s="0" t="s">
        <v>22</v>
      </c>
      <c r="AG6" s="0" t="s">
        <v>22</v>
      </c>
      <c r="AH6" s="0" t="s">
        <v>3850</v>
      </c>
      <c r="AI6" s="0" t="s">
        <v>3851</v>
      </c>
      <c r="AJ6" s="0" t="s">
        <v>3850</v>
      </c>
      <c r="AK6" s="0" t="s">
        <v>3851</v>
      </c>
      <c r="AL6" s="0" t="s">
        <v>22</v>
      </c>
    </row>
    <row customHeight="1" ht="11.25">
      <c r="A7" s="0" t="s">
        <v>22</v>
      </c>
      <c r="B7" s="0" t="s">
        <v>48</v>
      </c>
      <c r="C7" s="0" t="s">
        <v>50</v>
      </c>
      <c r="D7" s="0" t="s">
        <v>22</v>
      </c>
      <c r="E7" s="0" t="s">
        <v>3864</v>
      </c>
      <c r="F7" s="0" t="s">
        <v>1080</v>
      </c>
      <c r="G7" s="0" t="s">
        <v>106</v>
      </c>
      <c r="H7" s="0" t="s">
        <v>106</v>
      </c>
      <c r="I7" s="0" t="s">
        <v>107</v>
      </c>
      <c r="J7" s="0" t="s">
        <v>1107</v>
      </c>
      <c r="K7" s="0" t="s">
        <v>1108</v>
      </c>
      <c r="L7" s="0" t="s">
        <v>3865</v>
      </c>
      <c r="M7" s="0" t="s">
        <v>3866</v>
      </c>
      <c r="N7" s="0" t="s">
        <v>118</v>
      </c>
      <c r="O7" s="0" t="s">
        <v>106</v>
      </c>
      <c r="P7" s="0" t="s">
        <v>106</v>
      </c>
      <c r="Q7" s="0" t="s">
        <v>107</v>
      </c>
      <c r="R7" s="0" t="s">
        <v>1107</v>
      </c>
      <c r="S7" s="0" t="s">
        <v>1108</v>
      </c>
      <c r="T7" s="0" t="s">
        <v>3837</v>
      </c>
      <c r="U7" s="0" t="s">
        <v>3867</v>
      </c>
      <c r="V7" s="0" t="s">
        <v>592</v>
      </c>
      <c r="W7" s="0" t="s">
        <v>3839</v>
      </c>
      <c r="X7" s="0" t="s">
        <v>3868</v>
      </c>
      <c r="Y7" s="0" t="s">
        <v>3867</v>
      </c>
      <c r="Z7" s="0" t="s">
        <v>3869</v>
      </c>
      <c r="AA7" s="0" t="s">
        <v>3870</v>
      </c>
      <c r="AB7" s="0" t="s">
        <v>592</v>
      </c>
      <c r="AC7" s="0" t="s">
        <v>61</v>
      </c>
      <c r="AD7" s="0" t="s">
        <v>61</v>
      </c>
      <c r="AE7" s="0" t="s">
        <v>61</v>
      </c>
      <c r="AF7" s="0" t="s">
        <v>3871</v>
      </c>
      <c r="AG7" s="0" t="s">
        <v>3872</v>
      </c>
      <c r="AH7" s="0" t="s">
        <v>3871</v>
      </c>
      <c r="AI7" s="0" t="s">
        <v>3872</v>
      </c>
      <c r="AJ7" s="0" t="s">
        <v>3871</v>
      </c>
      <c r="AK7" s="0" t="s">
        <v>3872</v>
      </c>
      <c r="AL7" s="0" t="s">
        <v>3873</v>
      </c>
    </row>
    <row customHeight="1" ht="11.25">
      <c r="A8" s="0" t="s">
        <v>22</v>
      </c>
      <c r="B8" s="0" t="s">
        <v>48</v>
      </c>
      <c r="C8" s="0" t="s">
        <v>50</v>
      </c>
      <c r="D8" s="0" t="s">
        <v>22</v>
      </c>
      <c r="E8" s="0" t="s">
        <v>1106</v>
      </c>
      <c r="F8" s="0" t="s">
        <v>1080</v>
      </c>
      <c r="G8" s="0" t="s">
        <v>106</v>
      </c>
      <c r="H8" s="0" t="s">
        <v>106</v>
      </c>
      <c r="I8" s="0" t="s">
        <v>107</v>
      </c>
      <c r="J8" s="0" t="s">
        <v>1107</v>
      </c>
      <c r="K8" s="0" t="s">
        <v>1108</v>
      </c>
      <c r="L8" s="0" t="s">
        <v>1109</v>
      </c>
      <c r="M8" s="0" t="s">
        <v>120</v>
      </c>
      <c r="N8" s="0" t="s">
        <v>118</v>
      </c>
      <c r="O8" s="0" t="s">
        <v>106</v>
      </c>
      <c r="P8" s="0" t="s">
        <v>106</v>
      </c>
      <c r="Q8" s="0" t="s">
        <v>107</v>
      </c>
      <c r="R8" s="0" t="s">
        <v>1107</v>
      </c>
      <c r="S8" s="0" t="s">
        <v>1108</v>
      </c>
      <c r="T8" s="0" t="s">
        <v>3852</v>
      </c>
      <c r="U8" s="0" t="s">
        <v>3853</v>
      </c>
      <c r="V8" s="0" t="s">
        <v>592</v>
      </c>
      <c r="W8" s="0" t="s">
        <v>3839</v>
      </c>
      <c r="X8" s="0" t="s">
        <v>3874</v>
      </c>
      <c r="Y8" s="0" t="s">
        <v>3855</v>
      </c>
      <c r="Z8" s="0" t="s">
        <v>3875</v>
      </c>
      <c r="AA8" s="0" t="s">
        <v>3876</v>
      </c>
      <c r="AB8" s="0" t="s">
        <v>592</v>
      </c>
      <c r="AC8" s="0" t="s">
        <v>61</v>
      </c>
      <c r="AD8" s="0" t="s">
        <v>61</v>
      </c>
      <c r="AE8" s="0" t="s">
        <v>61</v>
      </c>
      <c r="AF8" s="0" t="s">
        <v>1133</v>
      </c>
      <c r="AG8" s="0" t="s">
        <v>3877</v>
      </c>
      <c r="AH8" s="0" t="s">
        <v>1133</v>
      </c>
      <c r="AI8" s="0" t="s">
        <v>3877</v>
      </c>
      <c r="AJ8" s="0" t="s">
        <v>1133</v>
      </c>
      <c r="AK8" s="0" t="s">
        <v>3877</v>
      </c>
      <c r="AL8" s="0" t="s">
        <v>3873</v>
      </c>
    </row>
    <row customHeight="1" ht="11.25">
      <c r="A9" s="0" t="s">
        <v>22</v>
      </c>
      <c r="B9" s="0" t="s">
        <v>48</v>
      </c>
      <c r="C9" s="0" t="s">
        <v>50</v>
      </c>
      <c r="D9" s="0" t="s">
        <v>22</v>
      </c>
      <c r="E9" s="0" t="s">
        <v>1106</v>
      </c>
      <c r="F9" s="0" t="s">
        <v>1080</v>
      </c>
      <c r="G9" s="0" t="s">
        <v>106</v>
      </c>
      <c r="H9" s="0" t="s">
        <v>106</v>
      </c>
      <c r="I9" s="0" t="s">
        <v>107</v>
      </c>
      <c r="J9" s="0" t="s">
        <v>1107</v>
      </c>
      <c r="K9" s="0" t="s">
        <v>1108</v>
      </c>
      <c r="L9" s="0" t="s">
        <v>1109</v>
      </c>
      <c r="M9" s="0" t="s">
        <v>120</v>
      </c>
      <c r="N9" s="0" t="s">
        <v>118</v>
      </c>
      <c r="O9" s="0" t="s">
        <v>106</v>
      </c>
      <c r="P9" s="0" t="s">
        <v>106</v>
      </c>
      <c r="Q9" s="0" t="s">
        <v>107</v>
      </c>
      <c r="R9" s="0" t="s">
        <v>1107</v>
      </c>
      <c r="S9" s="0" t="s">
        <v>1108</v>
      </c>
      <c r="T9" s="0" t="s">
        <v>3837</v>
      </c>
      <c r="U9" s="0" t="s">
        <v>3867</v>
      </c>
      <c r="V9" s="0" t="s">
        <v>592</v>
      </c>
      <c r="W9" s="0" t="s">
        <v>3839</v>
      </c>
      <c r="X9" s="0" t="s">
        <v>3868</v>
      </c>
      <c r="Y9" s="0" t="s">
        <v>3867</v>
      </c>
      <c r="Z9" s="0" t="s">
        <v>3869</v>
      </c>
      <c r="AA9" s="0" t="s">
        <v>3870</v>
      </c>
      <c r="AB9" s="0" t="s">
        <v>592</v>
      </c>
      <c r="AC9" s="0" t="s">
        <v>61</v>
      </c>
      <c r="AD9" s="0" t="s">
        <v>61</v>
      </c>
      <c r="AE9" s="0" t="s">
        <v>61</v>
      </c>
      <c r="AF9" s="0" t="s">
        <v>171</v>
      </c>
      <c r="AG9" s="0" t="s">
        <v>3877</v>
      </c>
      <c r="AH9" s="0" t="s">
        <v>171</v>
      </c>
      <c r="AI9" s="0" t="s">
        <v>3877</v>
      </c>
      <c r="AJ9" s="0" t="s">
        <v>171</v>
      </c>
      <c r="AK9" s="0" t="s">
        <v>3877</v>
      </c>
      <c r="AL9" s="0" t="s">
        <v>3873</v>
      </c>
    </row>
    <row customHeight="1" ht="11.25">
      <c r="A10" s="0" t="s">
        <v>22</v>
      </c>
      <c r="B10" s="0" t="s">
        <v>48</v>
      </c>
      <c r="C10" s="0" t="s">
        <v>50</v>
      </c>
      <c r="D10" s="0" t="s">
        <v>22</v>
      </c>
      <c r="E10" s="0" t="s">
        <v>3878</v>
      </c>
      <c r="F10" s="0" t="s">
        <v>1080</v>
      </c>
      <c r="G10" s="0" t="s">
        <v>106</v>
      </c>
      <c r="H10" s="0" t="s">
        <v>106</v>
      </c>
      <c r="I10" s="0" t="s">
        <v>107</v>
      </c>
      <c r="J10" s="0" t="s">
        <v>3879</v>
      </c>
      <c r="K10" s="0" t="s">
        <v>3880</v>
      </c>
      <c r="L10" s="0" t="s">
        <v>3881</v>
      </c>
      <c r="M10" s="0" t="s">
        <v>118</v>
      </c>
      <c r="N10" s="0" t="s">
        <v>118</v>
      </c>
      <c r="O10" s="0" t="s">
        <v>106</v>
      </c>
      <c r="P10" s="0" t="s">
        <v>106</v>
      </c>
      <c r="Q10" s="0" t="s">
        <v>107</v>
      </c>
      <c r="R10" s="0" t="s">
        <v>3879</v>
      </c>
      <c r="S10" s="0" t="s">
        <v>3880</v>
      </c>
      <c r="T10" s="0" t="s">
        <v>3852</v>
      </c>
      <c r="U10" s="0" t="s">
        <v>3853</v>
      </c>
      <c r="V10" s="0" t="s">
        <v>592</v>
      </c>
      <c r="W10" s="0" t="s">
        <v>3839</v>
      </c>
      <c r="X10" s="0" t="s">
        <v>3854</v>
      </c>
      <c r="Y10" s="0" t="s">
        <v>3855</v>
      </c>
      <c r="Z10" s="0" t="s">
        <v>3882</v>
      </c>
      <c r="AA10" s="0" t="s">
        <v>3883</v>
      </c>
      <c r="AB10" s="0" t="s">
        <v>592</v>
      </c>
      <c r="AC10" s="0" t="s">
        <v>61</v>
      </c>
      <c r="AD10" s="0" t="s">
        <v>61</v>
      </c>
      <c r="AE10" s="0" t="s">
        <v>61</v>
      </c>
      <c r="AF10" s="0" t="s">
        <v>3884</v>
      </c>
      <c r="AG10" s="0" t="s">
        <v>3885</v>
      </c>
      <c r="AH10" s="0" t="s">
        <v>3884</v>
      </c>
      <c r="AI10" s="0" t="s">
        <v>3885</v>
      </c>
      <c r="AJ10" s="0" t="s">
        <v>3884</v>
      </c>
      <c r="AK10" s="0" t="s">
        <v>3885</v>
      </c>
      <c r="AL10" s="0" t="s">
        <v>3886</v>
      </c>
    </row>
    <row customHeight="1" ht="11.25">
      <c r="A11" s="0" t="s">
        <v>22</v>
      </c>
      <c r="B11" s="0" t="s">
        <v>48</v>
      </c>
      <c r="C11" s="0" t="s">
        <v>50</v>
      </c>
      <c r="D11" s="0" t="s">
        <v>22</v>
      </c>
      <c r="E11" s="0" t="s">
        <v>3878</v>
      </c>
      <c r="F11" s="0" t="s">
        <v>1080</v>
      </c>
      <c r="G11" s="0" t="s">
        <v>106</v>
      </c>
      <c r="H11" s="0" t="s">
        <v>106</v>
      </c>
      <c r="I11" s="0" t="s">
        <v>107</v>
      </c>
      <c r="J11" s="0" t="s">
        <v>3879</v>
      </c>
      <c r="K11" s="0" t="s">
        <v>3880</v>
      </c>
      <c r="L11" s="0" t="s">
        <v>3881</v>
      </c>
      <c r="M11" s="0" t="s">
        <v>118</v>
      </c>
      <c r="N11" s="0" t="s">
        <v>118</v>
      </c>
      <c r="O11" s="0" t="s">
        <v>106</v>
      </c>
      <c r="P11" s="0" t="s">
        <v>106</v>
      </c>
      <c r="Q11" s="0" t="s">
        <v>107</v>
      </c>
      <c r="R11" s="0" t="s">
        <v>3879</v>
      </c>
      <c r="S11" s="0" t="s">
        <v>3880</v>
      </c>
      <c r="T11" s="0" t="s">
        <v>3852</v>
      </c>
      <c r="U11" s="0" t="s">
        <v>3853</v>
      </c>
      <c r="V11" s="0" t="s">
        <v>592</v>
      </c>
      <c r="W11" s="0" t="s">
        <v>3839</v>
      </c>
      <c r="X11" s="0" t="s">
        <v>3854</v>
      </c>
      <c r="Y11" s="0" t="s">
        <v>3855</v>
      </c>
      <c r="Z11" s="0" t="s">
        <v>3882</v>
      </c>
      <c r="AA11" s="0" t="s">
        <v>3883</v>
      </c>
      <c r="AB11" s="0" t="s">
        <v>592</v>
      </c>
      <c r="AC11" s="0" t="s">
        <v>61</v>
      </c>
      <c r="AD11" s="0" t="s">
        <v>61</v>
      </c>
      <c r="AE11" s="0" t="s">
        <v>61</v>
      </c>
      <c r="AF11" s="0" t="s">
        <v>3884</v>
      </c>
      <c r="AG11" s="0" t="s">
        <v>3885</v>
      </c>
      <c r="AH11" s="0" t="s">
        <v>3884</v>
      </c>
      <c r="AI11" s="0" t="s">
        <v>3885</v>
      </c>
      <c r="AJ11" s="0" t="s">
        <v>3884</v>
      </c>
      <c r="AK11" s="0" t="s">
        <v>3885</v>
      </c>
      <c r="AL11" s="0" t="s">
        <v>3886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ADF36-272B-7F1D-CD68-2F80372BB29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6"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38" t="s">
        <v>369</v>
      </c>
      <c r="I1" s="2238"/>
      <c r="J1" s="2238"/>
      <c r="K1" s="2238"/>
      <c r="L1" s="2238"/>
      <c r="M1" s="2238"/>
      <c r="N1" s="2238"/>
      <c r="O1" s="2238"/>
      <c r="P1" s="2238"/>
      <c r="Q1" s="2238"/>
      <c r="R1" s="2238"/>
      <c r="T1" s="2238" t="s">
        <v>370</v>
      </c>
      <c r="U1" s="2238"/>
      <c r="V1" s="2238"/>
      <c r="X1" s="2238" t="s">
        <v>371</v>
      </c>
      <c r="Y1" s="2238"/>
      <c r="Z1" s="2238"/>
      <c r="AB1" s="2238" t="s">
        <v>372</v>
      </c>
      <c r="AC1" s="2238"/>
      <c r="AT1" s="455" t="s">
        <v>14</v>
      </c>
    </row>
    <row customHeight="1" ht="14.25" hidden="1">
      <c r="AT2" s="455">
        <v>0</v>
      </c>
    </row>
    <row s="1621" customFormat="1" customHeight="1" ht="5.25">
      <c r="C3" s="709"/>
      <c r="D3" s="710"/>
      <c r="E3" s="710"/>
      <c r="F3" s="710"/>
      <c r="G3" s="710"/>
      <c r="H3" s="710" t="s">
        <v>373</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9"/>
      <c r="F4" s="2179"/>
      <c r="G4" s="2179"/>
      <c r="H4" s="2179"/>
      <c r="I4" s="2179"/>
      <c r="J4" s="2179"/>
      <c r="K4" s="2179"/>
      <c r="L4" s="2179"/>
      <c r="M4" s="2179"/>
      <c r="N4" s="2179"/>
      <c r="O4" s="2179"/>
      <c r="P4" s="2179"/>
      <c r="Q4" s="2179"/>
      <c r="R4" s="2180"/>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35" t="str">
        <f>IF(org=0,"Не определено",org)</f>
        <v>АО "ДГК"</v>
      </c>
      <c r="E5" s="2236"/>
      <c r="F5" s="2236"/>
      <c r="G5" s="2236"/>
      <c r="H5" s="2236"/>
      <c r="I5" s="2236"/>
      <c r="J5" s="2236"/>
      <c r="K5" s="2236"/>
      <c r="L5" s="2236"/>
      <c r="M5" s="2236"/>
      <c r="N5" s="2236"/>
      <c r="O5" s="2236"/>
      <c r="P5" s="2236"/>
      <c r="Q5" s="2236"/>
      <c r="R5" s="2237"/>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39" t="s">
        <v>317</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318</v>
      </c>
      <c r="AF7" s="2244" t="s">
        <v>318</v>
      </c>
      <c r="AG7" s="2244" t="s">
        <v>318</v>
      </c>
      <c r="AH7" s="2244" t="s">
        <v>318</v>
      </c>
      <c r="AT7" s="455">
        <v>14</v>
      </c>
    </row>
    <row customHeight="1" ht="27.299999999999997">
      <c r="C8" s="458"/>
      <c r="D8" s="2148" t="s">
        <v>88</v>
      </c>
      <c r="E8" s="2244" t="str">
        <f>"Наименование "&amp;IF(TEMPLATE_SPHERE&lt;&gt;"HEAT","централизованной ","")&amp;"системы "&amp;TEMPLATE_SPHERE_RUS</f>
        <v>Наименование системы теплоснабжения</v>
      </c>
      <c r="F8" s="2244" t="str">
        <f>IF(TEMPLATE_SPHERE&lt;&gt;"HEAT","Регулируемый вид деятельности","Вид регулируемой деятельности")</f>
        <v>Вид регулируемой деятельности</v>
      </c>
      <c r="G8" s="836"/>
      <c r="H8" s="2245" t="s">
        <v>374</v>
      </c>
      <c r="I8" s="2247" t="s">
        <v>375</v>
      </c>
      <c r="J8" s="2244" t="s">
        <v>376</v>
      </c>
      <c r="K8" s="2244"/>
      <c r="L8" s="2244"/>
      <c r="M8" s="2239"/>
      <c r="N8" s="2244" t="s">
        <v>377</v>
      </c>
      <c r="O8" s="2244"/>
      <c r="P8" s="2244" t="s">
        <v>378</v>
      </c>
      <c r="Q8" s="2244"/>
      <c r="R8" s="2251" t="s">
        <v>379</v>
      </c>
      <c r="S8" s="832"/>
      <c r="T8" s="2249" t="s">
        <v>380</v>
      </c>
      <c r="U8" s="2249" t="s">
        <v>381</v>
      </c>
      <c r="V8" s="2249" t="s">
        <v>382</v>
      </c>
      <c r="W8" s="834"/>
      <c r="X8" s="2249" t="s">
        <v>383</v>
      </c>
      <c r="Y8" s="2249" t="s">
        <v>384</v>
      </c>
      <c r="Z8" s="2249" t="s">
        <v>385</v>
      </c>
      <c r="AA8" s="834"/>
      <c r="AB8" s="2249" t="s">
        <v>386</v>
      </c>
      <c r="AC8" s="2249" t="s">
        <v>379</v>
      </c>
      <c r="AD8" s="834"/>
      <c r="AE8" s="2244"/>
      <c r="AF8" s="2244"/>
      <c r="AG8" s="2244"/>
      <c r="AH8" s="2244"/>
      <c r="AT8" s="455">
        <v>26</v>
      </c>
    </row>
    <row customHeight="1" ht="46.199999999999996">
      <c r="C9" s="458"/>
      <c r="D9" s="2148"/>
      <c r="E9" s="2244"/>
      <c r="F9" s="2244"/>
      <c r="G9" s="837"/>
      <c r="H9" s="2246"/>
      <c r="I9" s="2248"/>
      <c r="J9" s="433" t="s">
        <v>387</v>
      </c>
      <c r="K9" s="433" t="s">
        <v>388</v>
      </c>
      <c r="L9" s="433" t="s">
        <v>389</v>
      </c>
      <c r="M9" s="439" t="s">
        <v>390</v>
      </c>
      <c r="N9" s="433" t="s">
        <v>391</v>
      </c>
      <c r="O9" s="433" t="s">
        <v>390</v>
      </c>
      <c r="P9" s="433" t="s">
        <v>392</v>
      </c>
      <c r="Q9" s="433" t="s">
        <v>390</v>
      </c>
      <c r="R9" s="2252"/>
      <c r="S9" s="833"/>
      <c r="T9" s="2250"/>
      <c r="U9" s="2250"/>
      <c r="V9" s="2250"/>
      <c r="W9" s="835"/>
      <c r="X9" s="2250"/>
      <c r="Y9" s="2250"/>
      <c r="Z9" s="2250"/>
      <c r="AA9" s="835"/>
      <c r="AB9" s="2250"/>
      <c r="AC9" s="2250"/>
      <c r="AD9" s="835"/>
      <c r="AE9" s="2244"/>
      <c r="AF9" s="2244"/>
      <c r="AG9" s="2244"/>
      <c r="AH9" s="2244"/>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393</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118</v>
      </c>
      <c r="E12" s="1784" t="s">
        <v>22</v>
      </c>
      <c r="F12" s="863"/>
      <c r="G12" s="864"/>
      <c r="H12" s="1785"/>
      <c r="I12" s="1785"/>
      <c r="J12" s="441"/>
      <c r="K12" s="1868"/>
      <c r="L12" s="440"/>
      <c r="M12" s="1868"/>
      <c r="N12" s="441"/>
      <c r="O12" s="1868"/>
      <c r="P12" s="441"/>
      <c r="Q12" s="1868"/>
      <c r="R12" s="441"/>
      <c r="S12" s="862"/>
      <c r="T12" s="1785"/>
      <c r="U12" s="441"/>
      <c r="V12" s="441"/>
      <c r="W12" s="835"/>
      <c r="X12" s="1785"/>
      <c r="Y12" s="441"/>
      <c r="Z12" s="441"/>
      <c r="AA12" s="835"/>
      <c r="AB12" s="1785"/>
      <c r="AC12" s="441"/>
      <c r="AD12" s="835"/>
      <c r="AE12" s="2242" t="s">
        <v>394</v>
      </c>
      <c r="AF12" s="2242" t="s">
        <v>395</v>
      </c>
      <c r="AG12" s="2242" t="s">
        <v>396</v>
      </c>
      <c r="AH12" s="2242" t="s">
        <v>397</v>
      </c>
      <c r="AI12" s="455"/>
      <c r="AM12" s="519"/>
      <c r="AP12" s="508" t="s">
        <v>398</v>
      </c>
      <c r="AQ12" s="508" t="s">
        <v>398</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43"/>
      <c r="AF13" s="2243"/>
      <c r="AG13" s="2243"/>
      <c r="AH13" s="2243"/>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E9B3F-60D9-095E-4541-301B20D4ECC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149</v>
      </c>
      <c r="B1" s="191" t="s">
        <v>3887</v>
      </c>
    </row>
    <row customHeight="1" ht="11.25">
      <c r="A2" s="191" t="s">
        <v>98</v>
      </c>
      <c r="B2" s="191" t="s">
        <v>3888</v>
      </c>
    </row>
    <row customHeight="1" ht="11.25">
      <c r="A3" s="191" t="s">
        <v>104</v>
      </c>
      <c r="B3" s="191" t="s">
        <v>3889</v>
      </c>
    </row>
    <row customHeight="1" ht="11.25">
      <c r="A4" s="191" t="s">
        <v>108</v>
      </c>
      <c r="B4" s="191" t="s">
        <v>3890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A5BA4-4E37-3F1D-AA39-7E5DA61D99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3891</v>
      </c>
      <c r="B1" s="843" t="s">
        <v>3892</v>
      </c>
    </row>
    <row customHeight="1" ht="11.25">
      <c r="A2" s="843">
        <v>4213775</v>
      </c>
      <c r="B2" s="843" t="s">
        <v>1429</v>
      </c>
    </row>
    <row customHeight="1" ht="11.25">
      <c r="A3" s="843">
        <v>4213784</v>
      </c>
      <c r="B3" s="843" t="s">
        <v>1462</v>
      </c>
    </row>
    <row customHeight="1" ht="11.25">
      <c r="A4" s="843">
        <v>4213781</v>
      </c>
      <c r="B4" s="843" t="s">
        <v>1455</v>
      </c>
    </row>
    <row customHeight="1" ht="11.25">
      <c r="A5" s="843">
        <v>4213776</v>
      </c>
      <c r="B5" s="843" t="s">
        <v>185</v>
      </c>
    </row>
    <row customHeight="1" ht="11.25">
      <c r="A6" s="843">
        <v>4213777</v>
      </c>
      <c r="B6" s="843" t="s">
        <v>191</v>
      </c>
    </row>
    <row customHeight="1" ht="11.25">
      <c r="A7" s="843">
        <v>4213778</v>
      </c>
      <c r="B7" s="843" t="s">
        <v>197</v>
      </c>
    </row>
    <row customHeight="1" ht="11.25">
      <c r="A8" s="843">
        <v>4213780</v>
      </c>
      <c r="B8" s="843" t="s">
        <v>203</v>
      </c>
    </row>
    <row customHeight="1" ht="11.25">
      <c r="A9" s="843">
        <v>4213779</v>
      </c>
      <c r="B9" s="843" t="s">
        <v>1591</v>
      </c>
    </row>
    <row customHeight="1" ht="11.25">
      <c r="A10" s="843">
        <v>4213783</v>
      </c>
      <c r="B10" s="843" t="s">
        <v>1604</v>
      </c>
    </row>
    <row customHeight="1" ht="11.25">
      <c r="A11" s="843">
        <v>4213782</v>
      </c>
      <c r="B11" s="843" t="s">
        <v>209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E050F-56CD-4867-AB1B-78440D8189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3" t="s">
        <v>3891</v>
      </c>
      <c r="B1" s="843" t="s">
        <v>3893</v>
      </c>
    </row>
    <row customHeight="1" ht="11.25">
      <c r="A2" s="843" t="s">
        <v>3894</v>
      </c>
      <c r="B2" s="843" t="s">
        <v>1692</v>
      </c>
    </row>
    <row customHeight="1" ht="11.25">
      <c r="A3" s="843" t="s">
        <v>3895</v>
      </c>
      <c r="B3" s="843" t="s">
        <v>1701</v>
      </c>
    </row>
    <row customHeight="1" ht="11.25">
      <c r="A4" s="843" t="s">
        <v>3896</v>
      </c>
      <c r="B4" s="843" t="s">
        <v>1709</v>
      </c>
    </row>
    <row customHeight="1" ht="11.25">
      <c r="A5" s="843" t="s">
        <v>3897</v>
      </c>
      <c r="B5" s="843" t="s">
        <v>1718</v>
      </c>
    </row>
    <row customHeight="1" ht="11.25">
      <c r="A6" s="843" t="s">
        <v>3898</v>
      </c>
      <c r="B6" s="843" t="s">
        <v>1723</v>
      </c>
    </row>
    <row customHeight="1" ht="11.25">
      <c r="A7" s="843" t="s">
        <v>3899</v>
      </c>
      <c r="B7" s="843" t="s">
        <v>1730</v>
      </c>
    </row>
    <row customHeight="1" ht="11.25">
      <c r="A8" s="843" t="s">
        <v>3900</v>
      </c>
      <c r="B8" s="843" t="s">
        <v>1736</v>
      </c>
    </row>
    <row customHeight="1" ht="11.25">
      <c r="A9" s="843" t="s">
        <v>3901</v>
      </c>
      <c r="B9" s="843" t="s">
        <v>1741</v>
      </c>
    </row>
    <row customHeight="1" ht="11.25">
      <c r="A10" s="843" t="s">
        <v>3902</v>
      </c>
      <c r="B10" s="843" t="s">
        <v>1744</v>
      </c>
    </row>
    <row customHeight="1" ht="11.25">
      <c r="A11" s="843" t="s">
        <v>3903</v>
      </c>
      <c r="B11" s="843" t="s">
        <v>1750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07D0F-3C88-AAA1-B01C-0F8152E451CE}"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81" t="s">
        <v>3286</v>
      </c>
      <c r="B1" s="381" t="s">
        <v>3287</v>
      </c>
      <c r="C1" s="381" t="s">
        <v>3288</v>
      </c>
      <c r="D1" s="381" t="s">
        <v>3289</v>
      </c>
      <c r="E1" s="0" t="s">
        <v>3290</v>
      </c>
      <c r="F1" s="0" t="s">
        <v>3291</v>
      </c>
      <c r="G1" s="0" t="s">
        <v>3292</v>
      </c>
    </row>
    <row customHeight="1" ht="11.25">
      <c r="A2" s="0" t="s">
        <v>16</v>
      </c>
      <c r="B2" s="0" t="s">
        <v>3293</v>
      </c>
      <c r="C2" s="0" t="s">
        <v>3294</v>
      </c>
      <c r="D2" s="0" t="s">
        <v>3293</v>
      </c>
      <c r="E2" s="0" t="s">
        <v>3294</v>
      </c>
      <c r="F2" s="0" t="s">
        <v>3295</v>
      </c>
      <c r="G2" s="0" t="s">
        <v>118</v>
      </c>
    </row>
    <row customHeight="1" ht="11.25">
      <c r="A3" s="0" t="s">
        <v>16</v>
      </c>
      <c r="B3" s="0" t="s">
        <v>3296</v>
      </c>
      <c r="C3" s="0" t="s">
        <v>3297</v>
      </c>
      <c r="D3" s="0" t="s">
        <v>3296</v>
      </c>
      <c r="E3" s="0" t="s">
        <v>3297</v>
      </c>
      <c r="F3" s="0" t="s">
        <v>3295</v>
      </c>
      <c r="G3" s="0" t="s">
        <v>102</v>
      </c>
    </row>
    <row customHeight="1" ht="11.25">
      <c r="A4" s="0" t="s">
        <v>16</v>
      </c>
      <c r="B4" s="0" t="s">
        <v>109</v>
      </c>
      <c r="C4" s="0" t="s">
        <v>3298</v>
      </c>
      <c r="D4" s="0" t="s">
        <v>109</v>
      </c>
      <c r="E4" s="0" t="s">
        <v>3298</v>
      </c>
      <c r="F4" s="0" t="s">
        <v>3295</v>
      </c>
      <c r="G4" s="0" t="s">
        <v>90</v>
      </c>
    </row>
    <row customHeight="1" ht="11.25">
      <c r="A5" s="0" t="s">
        <v>16</v>
      </c>
      <c r="B5" s="0" t="s">
        <v>109</v>
      </c>
      <c r="C5" s="0" t="s">
        <v>3298</v>
      </c>
      <c r="D5" s="0" t="s">
        <v>110</v>
      </c>
      <c r="E5" s="0" t="s">
        <v>111</v>
      </c>
      <c r="F5" s="0" t="s">
        <v>3299</v>
      </c>
      <c r="G5" s="0" t="s">
        <v>91</v>
      </c>
    </row>
    <row customHeight="1" ht="11.25">
      <c r="A6" s="0" t="s">
        <v>16</v>
      </c>
      <c r="B6" s="0" t="s">
        <v>3300</v>
      </c>
      <c r="C6" s="0" t="s">
        <v>3301</v>
      </c>
      <c r="D6" s="0" t="s">
        <v>3300</v>
      </c>
      <c r="E6" s="0" t="s">
        <v>3301</v>
      </c>
      <c r="F6" s="0" t="s">
        <v>3295</v>
      </c>
      <c r="G6" s="0" t="s">
        <v>119</v>
      </c>
    </row>
    <row customHeight="1" ht="11.25">
      <c r="A7" s="0" t="s">
        <v>16</v>
      </c>
      <c r="B7" s="0" t="s">
        <v>3302</v>
      </c>
      <c r="C7" s="0" t="s">
        <v>3303</v>
      </c>
      <c r="D7" s="0" t="s">
        <v>3302</v>
      </c>
      <c r="E7" s="0" t="s">
        <v>3303</v>
      </c>
      <c r="F7" s="0" t="s">
        <v>3304</v>
      </c>
      <c r="G7" s="0" t="s">
        <v>92</v>
      </c>
    </row>
    <row customHeight="1" ht="11.25">
      <c r="A8" s="0" t="s">
        <v>16</v>
      </c>
      <c r="B8" s="0" t="s">
        <v>99</v>
      </c>
      <c r="C8" s="0" t="s">
        <v>100</v>
      </c>
      <c r="D8" s="0" t="s">
        <v>99</v>
      </c>
      <c r="E8" s="0" t="s">
        <v>100</v>
      </c>
      <c r="F8" s="0" t="s">
        <v>3304</v>
      </c>
      <c r="G8" s="0" t="s">
        <v>93</v>
      </c>
    </row>
    <row customHeight="1" ht="11.25">
      <c r="A9" s="0" t="s">
        <v>16</v>
      </c>
      <c r="B9" s="0" t="s">
        <v>3305</v>
      </c>
      <c r="C9" s="0" t="s">
        <v>3306</v>
      </c>
      <c r="D9" s="0" t="s">
        <v>3305</v>
      </c>
      <c r="E9" s="0" t="s">
        <v>3306</v>
      </c>
      <c r="F9" s="0" t="s">
        <v>3304</v>
      </c>
      <c r="G9" s="0" t="s">
        <v>120</v>
      </c>
    </row>
    <row customHeight="1" ht="11.25">
      <c r="A10" s="0" t="s">
        <v>16</v>
      </c>
      <c r="B10" s="0" t="s">
        <v>3307</v>
      </c>
      <c r="C10" s="0" t="s">
        <v>3308</v>
      </c>
      <c r="D10" s="0" t="s">
        <v>3307</v>
      </c>
      <c r="E10" s="0" t="s">
        <v>3308</v>
      </c>
      <c r="F10" s="0" t="s">
        <v>3304</v>
      </c>
      <c r="G10" s="0" t="s">
        <v>167</v>
      </c>
    </row>
    <row customHeight="1" ht="11.25">
      <c r="A11" s="0" t="s">
        <v>16</v>
      </c>
      <c r="B11" s="0" t="s">
        <v>3309</v>
      </c>
      <c r="C11" s="0" t="s">
        <v>3310</v>
      </c>
      <c r="D11" s="0" t="s">
        <v>3309</v>
      </c>
      <c r="E11" s="0" t="s">
        <v>3310</v>
      </c>
      <c r="F11" s="0" t="s">
        <v>3304</v>
      </c>
      <c r="G11" s="0" t="s">
        <v>168</v>
      </c>
    </row>
    <row customHeight="1" ht="11.25">
      <c r="A12" s="0" t="s">
        <v>16</v>
      </c>
      <c r="B12" s="0" t="s">
        <v>3311</v>
      </c>
      <c r="C12" s="0" t="s">
        <v>3312</v>
      </c>
      <c r="D12" s="0" t="s">
        <v>3311</v>
      </c>
      <c r="E12" s="0" t="s">
        <v>3312</v>
      </c>
      <c r="F12" s="0" t="s">
        <v>3304</v>
      </c>
      <c r="G12" s="0" t="s">
        <v>169</v>
      </c>
    </row>
    <row customHeight="1" ht="11.25">
      <c r="A13" s="0" t="s">
        <v>16</v>
      </c>
      <c r="B13" s="0" t="s">
        <v>3313</v>
      </c>
      <c r="C13" s="0" t="s">
        <v>3314</v>
      </c>
      <c r="D13" s="0" t="s">
        <v>3313</v>
      </c>
      <c r="E13" s="0" t="s">
        <v>3314</v>
      </c>
      <c r="F13" s="0" t="s">
        <v>3304</v>
      </c>
      <c r="G13" s="0" t="s">
        <v>170</v>
      </c>
    </row>
    <row customHeight="1" ht="11.25">
      <c r="A14" s="0" t="s">
        <v>16</v>
      </c>
      <c r="B14" s="0" t="s">
        <v>3315</v>
      </c>
      <c r="C14" s="0" t="s">
        <v>3316</v>
      </c>
      <c r="D14" s="0" t="s">
        <v>3315</v>
      </c>
      <c r="E14" s="0" t="s">
        <v>3316</v>
      </c>
      <c r="F14" s="0" t="s">
        <v>3304</v>
      </c>
      <c r="G14" s="0" t="s">
        <v>171</v>
      </c>
    </row>
    <row customHeight="1" ht="11.25">
      <c r="A15" s="0" t="s">
        <v>16</v>
      </c>
      <c r="B15" s="0" t="s">
        <v>3317</v>
      </c>
      <c r="C15" s="0" t="s">
        <v>3318</v>
      </c>
      <c r="D15" s="0" t="s">
        <v>3317</v>
      </c>
      <c r="E15" s="0" t="s">
        <v>3318</v>
      </c>
      <c r="F15" s="0" t="s">
        <v>3295</v>
      </c>
      <c r="G15" s="0" t="s">
        <v>172</v>
      </c>
    </row>
    <row customHeight="1" ht="11.25">
      <c r="A16" s="0" t="s">
        <v>16</v>
      </c>
      <c r="B16" s="0" t="s">
        <v>3319</v>
      </c>
      <c r="C16" s="0" t="s">
        <v>3320</v>
      </c>
      <c r="D16" s="0" t="s">
        <v>3319</v>
      </c>
      <c r="E16" s="0" t="s">
        <v>3320</v>
      </c>
      <c r="F16" s="0" t="s">
        <v>3295</v>
      </c>
      <c r="G16" s="0" t="s">
        <v>1120</v>
      </c>
    </row>
    <row customHeight="1" ht="11.25">
      <c r="A17" s="0" t="s">
        <v>16</v>
      </c>
      <c r="B17" s="0" t="s">
        <v>3321</v>
      </c>
      <c r="C17" s="0" t="s">
        <v>3322</v>
      </c>
      <c r="D17" s="0" t="s">
        <v>3323</v>
      </c>
      <c r="E17" s="0" t="s">
        <v>3324</v>
      </c>
      <c r="F17" s="0" t="s">
        <v>3299</v>
      </c>
      <c r="G17" s="0" t="s">
        <v>1124</v>
      </c>
    </row>
    <row customHeight="1" ht="11.25">
      <c r="A18" s="0" t="s">
        <v>16</v>
      </c>
      <c r="B18" s="0" t="s">
        <v>3321</v>
      </c>
      <c r="C18" s="0" t="s">
        <v>3322</v>
      </c>
      <c r="D18" s="0" t="s">
        <v>3325</v>
      </c>
      <c r="E18" s="0" t="s">
        <v>3326</v>
      </c>
      <c r="F18" s="0" t="s">
        <v>3299</v>
      </c>
      <c r="G18" s="0" t="s">
        <v>1128</v>
      </c>
    </row>
    <row customHeight="1" ht="11.25">
      <c r="A19" s="0" t="s">
        <v>16</v>
      </c>
      <c r="B19" s="0" t="s">
        <v>3321</v>
      </c>
      <c r="C19" s="0" t="s">
        <v>3322</v>
      </c>
      <c r="D19" s="0" t="s">
        <v>3327</v>
      </c>
      <c r="E19" s="0" t="s">
        <v>3328</v>
      </c>
      <c r="F19" s="0" t="s">
        <v>3299</v>
      </c>
      <c r="G19" s="0" t="s">
        <v>1130</v>
      </c>
    </row>
    <row customHeight="1" ht="11.25">
      <c r="A20" s="0" t="s">
        <v>16</v>
      </c>
      <c r="B20" s="0" t="s">
        <v>3321</v>
      </c>
      <c r="C20" s="0" t="s">
        <v>3322</v>
      </c>
      <c r="D20" s="0" t="s">
        <v>3329</v>
      </c>
      <c r="E20" s="0" t="s">
        <v>3330</v>
      </c>
      <c r="F20" s="0" t="s">
        <v>3299</v>
      </c>
      <c r="G20" s="0" t="s">
        <v>1133</v>
      </c>
    </row>
    <row customHeight="1" ht="11.25">
      <c r="A21" s="0" t="s">
        <v>16</v>
      </c>
      <c r="B21" s="0" t="s">
        <v>3321</v>
      </c>
      <c r="C21" s="0" t="s">
        <v>3322</v>
      </c>
      <c r="D21" s="0" t="s">
        <v>3331</v>
      </c>
      <c r="E21" s="0" t="s">
        <v>3332</v>
      </c>
      <c r="F21" s="0" t="s">
        <v>3299</v>
      </c>
      <c r="G21" s="0" t="s">
        <v>1135</v>
      </c>
    </row>
    <row customHeight="1" ht="11.25">
      <c r="A22" s="0" t="s">
        <v>16</v>
      </c>
      <c r="B22" s="0" t="s">
        <v>3321</v>
      </c>
      <c r="C22" s="0" t="s">
        <v>3322</v>
      </c>
      <c r="D22" s="0" t="s">
        <v>3333</v>
      </c>
      <c r="E22" s="0" t="s">
        <v>3334</v>
      </c>
      <c r="F22" s="0" t="s">
        <v>3299</v>
      </c>
      <c r="G22" s="0" t="s">
        <v>1137</v>
      </c>
    </row>
    <row customHeight="1" ht="11.25">
      <c r="A23" s="0" t="s">
        <v>16</v>
      </c>
      <c r="B23" s="0" t="s">
        <v>3321</v>
      </c>
      <c r="C23" s="0" t="s">
        <v>3322</v>
      </c>
      <c r="D23" s="0" t="s">
        <v>3335</v>
      </c>
      <c r="E23" s="0" t="s">
        <v>3336</v>
      </c>
      <c r="F23" s="0" t="s">
        <v>3299</v>
      </c>
      <c r="G23" s="0" t="s">
        <v>1139</v>
      </c>
    </row>
    <row customHeight="1" ht="11.25">
      <c r="A24" s="0" t="s">
        <v>16</v>
      </c>
      <c r="B24" s="0" t="s">
        <v>3321</v>
      </c>
      <c r="C24" s="0" t="s">
        <v>3322</v>
      </c>
      <c r="D24" s="0" t="s">
        <v>3321</v>
      </c>
      <c r="E24" s="0" t="s">
        <v>3322</v>
      </c>
      <c r="F24" s="0" t="s">
        <v>3337</v>
      </c>
      <c r="G24" s="0" t="s">
        <v>1141</v>
      </c>
    </row>
    <row customHeight="1" ht="11.25">
      <c r="A25" s="0" t="s">
        <v>16</v>
      </c>
      <c r="B25" s="0" t="s">
        <v>3321</v>
      </c>
      <c r="C25" s="0" t="s">
        <v>3322</v>
      </c>
      <c r="D25" s="0" t="s">
        <v>3338</v>
      </c>
      <c r="E25" s="0" t="s">
        <v>3339</v>
      </c>
      <c r="F25" s="0" t="s">
        <v>3299</v>
      </c>
      <c r="G25" s="0" t="s">
        <v>1143</v>
      </c>
    </row>
    <row customHeight="1" ht="11.25">
      <c r="A26" s="0" t="s">
        <v>16</v>
      </c>
      <c r="B26" s="0" t="s">
        <v>3321</v>
      </c>
      <c r="C26" s="0" t="s">
        <v>3322</v>
      </c>
      <c r="D26" s="0" t="s">
        <v>3340</v>
      </c>
      <c r="E26" s="0" t="s">
        <v>3341</v>
      </c>
      <c r="F26" s="0" t="s">
        <v>3342</v>
      </c>
      <c r="G26" s="0" t="s">
        <v>1145</v>
      </c>
    </row>
    <row customHeight="1" ht="11.25">
      <c r="A27" s="0" t="s">
        <v>16</v>
      </c>
      <c r="B27" s="0" t="s">
        <v>3321</v>
      </c>
      <c r="C27" s="0" t="s">
        <v>3322</v>
      </c>
      <c r="D27" s="0" t="s">
        <v>3343</v>
      </c>
      <c r="E27" s="0" t="s">
        <v>3344</v>
      </c>
      <c r="F27" s="0" t="s">
        <v>3299</v>
      </c>
      <c r="G27" s="0" t="s">
        <v>1148</v>
      </c>
    </row>
    <row customHeight="1" ht="11.25">
      <c r="A28" s="0" t="s">
        <v>16</v>
      </c>
      <c r="B28" s="0" t="s">
        <v>3321</v>
      </c>
      <c r="C28" s="0" t="s">
        <v>3322</v>
      </c>
      <c r="D28" s="0" t="s">
        <v>3345</v>
      </c>
      <c r="E28" s="0" t="s">
        <v>3346</v>
      </c>
      <c r="F28" s="0" t="s">
        <v>3299</v>
      </c>
      <c r="G28" s="0" t="s">
        <v>1150</v>
      </c>
    </row>
    <row customHeight="1" ht="11.25">
      <c r="A29" s="0" t="s">
        <v>16</v>
      </c>
      <c r="B29" s="0" t="s">
        <v>3321</v>
      </c>
      <c r="C29" s="0" t="s">
        <v>3322</v>
      </c>
      <c r="D29" s="0" t="s">
        <v>3347</v>
      </c>
      <c r="E29" s="0" t="s">
        <v>3348</v>
      </c>
      <c r="F29" s="0" t="s">
        <v>3299</v>
      </c>
      <c r="G29" s="0" t="s">
        <v>1152</v>
      </c>
    </row>
    <row customHeight="1" ht="11.25">
      <c r="A30" s="0" t="s">
        <v>16</v>
      </c>
      <c r="B30" s="0" t="s">
        <v>3321</v>
      </c>
      <c r="C30" s="0" t="s">
        <v>3322</v>
      </c>
      <c r="D30" s="0" t="s">
        <v>3349</v>
      </c>
      <c r="E30" s="0" t="s">
        <v>3350</v>
      </c>
      <c r="F30" s="0" t="s">
        <v>3299</v>
      </c>
      <c r="G30" s="0" t="s">
        <v>1154</v>
      </c>
    </row>
    <row customHeight="1" ht="11.25">
      <c r="A31" s="0" t="s">
        <v>16</v>
      </c>
      <c r="B31" s="0" t="s">
        <v>3321</v>
      </c>
      <c r="C31" s="0" t="s">
        <v>3322</v>
      </c>
      <c r="D31" s="0" t="s">
        <v>3351</v>
      </c>
      <c r="E31" s="0" t="s">
        <v>3352</v>
      </c>
      <c r="F31" s="0" t="s">
        <v>3299</v>
      </c>
      <c r="G31" s="0" t="s">
        <v>1156</v>
      </c>
    </row>
    <row customHeight="1" ht="11.25">
      <c r="A32" s="0" t="s">
        <v>16</v>
      </c>
      <c r="B32" s="0" t="s">
        <v>3321</v>
      </c>
      <c r="C32" s="0" t="s">
        <v>3322</v>
      </c>
      <c r="D32" s="0" t="s">
        <v>3353</v>
      </c>
      <c r="E32" s="0" t="s">
        <v>3354</v>
      </c>
      <c r="F32" s="0" t="s">
        <v>3299</v>
      </c>
      <c r="G32" s="0" t="s">
        <v>1158</v>
      </c>
    </row>
    <row customHeight="1" ht="11.25">
      <c r="A33" s="0" t="s">
        <v>16</v>
      </c>
      <c r="B33" s="0" t="s">
        <v>3321</v>
      </c>
      <c r="C33" s="0" t="s">
        <v>3322</v>
      </c>
      <c r="D33" s="0" t="s">
        <v>3355</v>
      </c>
      <c r="E33" s="0" t="s">
        <v>3356</v>
      </c>
      <c r="F33" s="0" t="s">
        <v>3299</v>
      </c>
      <c r="G33" s="0" t="s">
        <v>1160</v>
      </c>
    </row>
    <row customHeight="1" ht="11.25">
      <c r="A34" s="0" t="s">
        <v>16</v>
      </c>
      <c r="B34" s="0" t="s">
        <v>3321</v>
      </c>
      <c r="C34" s="0" t="s">
        <v>3322</v>
      </c>
      <c r="D34" s="0" t="s">
        <v>3357</v>
      </c>
      <c r="E34" s="0" t="s">
        <v>3358</v>
      </c>
      <c r="F34" s="0" t="s">
        <v>3299</v>
      </c>
      <c r="G34" s="0" t="s">
        <v>1162</v>
      </c>
    </row>
    <row customHeight="1" ht="11.25">
      <c r="A35" s="0" t="s">
        <v>16</v>
      </c>
      <c r="B35" s="0" t="s">
        <v>3321</v>
      </c>
      <c r="C35" s="0" t="s">
        <v>3322</v>
      </c>
      <c r="D35" s="0" t="s">
        <v>3359</v>
      </c>
      <c r="E35" s="0" t="s">
        <v>3360</v>
      </c>
      <c r="F35" s="0" t="s">
        <v>3299</v>
      </c>
      <c r="G35" s="0" t="s">
        <v>1164</v>
      </c>
    </row>
    <row customHeight="1" ht="11.25">
      <c r="A36" s="0" t="s">
        <v>16</v>
      </c>
      <c r="B36" s="0" t="s">
        <v>3321</v>
      </c>
      <c r="C36" s="0" t="s">
        <v>3322</v>
      </c>
      <c r="D36" s="0" t="s">
        <v>3361</v>
      </c>
      <c r="E36" s="0" t="s">
        <v>3362</v>
      </c>
      <c r="F36" s="0" t="s">
        <v>3299</v>
      </c>
      <c r="G36" s="0" t="s">
        <v>1166</v>
      </c>
    </row>
    <row customHeight="1" ht="11.25">
      <c r="A37" s="0" t="s">
        <v>16</v>
      </c>
      <c r="B37" s="0" t="s">
        <v>3321</v>
      </c>
      <c r="C37" s="0" t="s">
        <v>3322</v>
      </c>
      <c r="D37" s="0" t="s">
        <v>3363</v>
      </c>
      <c r="E37" s="0" t="s">
        <v>3364</v>
      </c>
      <c r="F37" s="0" t="s">
        <v>3299</v>
      </c>
      <c r="G37" s="0" t="s">
        <v>1169</v>
      </c>
    </row>
    <row customHeight="1" ht="11.25">
      <c r="A38" s="0" t="s">
        <v>16</v>
      </c>
      <c r="B38" s="0" t="s">
        <v>3321</v>
      </c>
      <c r="C38" s="0" t="s">
        <v>3322</v>
      </c>
      <c r="D38" s="0" t="s">
        <v>3365</v>
      </c>
      <c r="E38" s="0" t="s">
        <v>3366</v>
      </c>
      <c r="F38" s="0" t="s">
        <v>3299</v>
      </c>
      <c r="G38" s="0" t="s">
        <v>1171</v>
      </c>
    </row>
    <row customHeight="1" ht="11.25">
      <c r="A39" s="0" t="s">
        <v>16</v>
      </c>
      <c r="B39" s="0" t="s">
        <v>3367</v>
      </c>
      <c r="C39" s="0" t="s">
        <v>3368</v>
      </c>
      <c r="D39" s="0" t="s">
        <v>3367</v>
      </c>
      <c r="E39" s="0" t="s">
        <v>3368</v>
      </c>
      <c r="F39" s="0" t="s">
        <v>3295</v>
      </c>
      <c r="G39" s="0" t="s">
        <v>1173</v>
      </c>
    </row>
    <row customHeight="1" ht="11.25">
      <c r="A40" s="0" t="s">
        <v>16</v>
      </c>
      <c r="B40" s="0" t="s">
        <v>3369</v>
      </c>
      <c r="C40" s="0" t="s">
        <v>3370</v>
      </c>
      <c r="D40" s="0" t="s">
        <v>3371</v>
      </c>
      <c r="E40" s="0" t="s">
        <v>3372</v>
      </c>
      <c r="F40" s="0" t="s">
        <v>3299</v>
      </c>
      <c r="G40" s="0" t="s">
        <v>1175</v>
      </c>
    </row>
    <row customHeight="1" ht="11.25">
      <c r="A41" s="0" t="s">
        <v>16</v>
      </c>
      <c r="B41" s="0" t="s">
        <v>3369</v>
      </c>
      <c r="C41" s="0" t="s">
        <v>3370</v>
      </c>
      <c r="D41" s="0" t="s">
        <v>3373</v>
      </c>
      <c r="E41" s="0" t="s">
        <v>3374</v>
      </c>
      <c r="F41" s="0" t="s">
        <v>3299</v>
      </c>
      <c r="G41" s="0" t="s">
        <v>1177</v>
      </c>
    </row>
    <row customHeight="1" ht="11.25">
      <c r="A42" s="0" t="s">
        <v>16</v>
      </c>
      <c r="B42" s="0" t="s">
        <v>3369</v>
      </c>
      <c r="C42" s="0" t="s">
        <v>3370</v>
      </c>
      <c r="D42" s="0" t="s">
        <v>3375</v>
      </c>
      <c r="E42" s="0" t="s">
        <v>3376</v>
      </c>
      <c r="F42" s="0" t="s">
        <v>3299</v>
      </c>
      <c r="G42" s="0" t="s">
        <v>1179</v>
      </c>
    </row>
    <row customHeight="1" ht="11.25">
      <c r="A43" s="0" t="s">
        <v>16</v>
      </c>
      <c r="B43" s="0" t="s">
        <v>3369</v>
      </c>
      <c r="C43" s="0" t="s">
        <v>3370</v>
      </c>
      <c r="D43" s="0" t="s">
        <v>3377</v>
      </c>
      <c r="E43" s="0" t="s">
        <v>3378</v>
      </c>
      <c r="F43" s="0" t="s">
        <v>3299</v>
      </c>
      <c r="G43" s="0" t="s">
        <v>1181</v>
      </c>
    </row>
    <row customHeight="1" ht="11.25">
      <c r="A44" s="0" t="s">
        <v>16</v>
      </c>
      <c r="B44" s="0" t="s">
        <v>3369</v>
      </c>
      <c r="C44" s="0" t="s">
        <v>3370</v>
      </c>
      <c r="D44" s="0" t="s">
        <v>3379</v>
      </c>
      <c r="E44" s="0" t="s">
        <v>3380</v>
      </c>
      <c r="F44" s="0" t="s">
        <v>3299</v>
      </c>
      <c r="G44" s="0" t="s">
        <v>1183</v>
      </c>
    </row>
    <row customHeight="1" ht="11.25">
      <c r="A45" s="0" t="s">
        <v>16</v>
      </c>
      <c r="B45" s="0" t="s">
        <v>3369</v>
      </c>
      <c r="C45" s="0" t="s">
        <v>3370</v>
      </c>
      <c r="D45" s="0" t="s">
        <v>3369</v>
      </c>
      <c r="E45" s="0" t="s">
        <v>3370</v>
      </c>
      <c r="F45" s="0" t="s">
        <v>3337</v>
      </c>
      <c r="G45" s="0" t="s">
        <v>1185</v>
      </c>
    </row>
    <row customHeight="1" ht="11.25">
      <c r="A46" s="0" t="s">
        <v>16</v>
      </c>
      <c r="B46" s="0" t="s">
        <v>3369</v>
      </c>
      <c r="C46" s="0" t="s">
        <v>3370</v>
      </c>
      <c r="D46" s="0" t="s">
        <v>3381</v>
      </c>
      <c r="E46" s="0" t="s">
        <v>3382</v>
      </c>
      <c r="F46" s="0" t="s">
        <v>3299</v>
      </c>
      <c r="G46" s="0" t="s">
        <v>1187</v>
      </c>
    </row>
    <row customHeight="1" ht="11.25">
      <c r="A47" s="0" t="s">
        <v>16</v>
      </c>
      <c r="B47" s="0" t="s">
        <v>3369</v>
      </c>
      <c r="C47" s="0" t="s">
        <v>3370</v>
      </c>
      <c r="D47" s="0" t="s">
        <v>3383</v>
      </c>
      <c r="E47" s="0" t="s">
        <v>3384</v>
      </c>
      <c r="F47" s="0" t="s">
        <v>3299</v>
      </c>
      <c r="G47" s="0" t="s">
        <v>1189</v>
      </c>
    </row>
    <row customHeight="1" ht="11.25">
      <c r="A48" s="0" t="s">
        <v>16</v>
      </c>
      <c r="B48" s="0" t="s">
        <v>3369</v>
      </c>
      <c r="C48" s="0" t="s">
        <v>3370</v>
      </c>
      <c r="D48" s="0" t="s">
        <v>3385</v>
      </c>
      <c r="E48" s="0" t="s">
        <v>3386</v>
      </c>
      <c r="F48" s="0" t="s">
        <v>3299</v>
      </c>
      <c r="G48" s="0" t="s">
        <v>1191</v>
      </c>
    </row>
    <row customHeight="1" ht="11.25">
      <c r="A49" s="0" t="s">
        <v>16</v>
      </c>
      <c r="B49" s="0" t="s">
        <v>3369</v>
      </c>
      <c r="C49" s="0" t="s">
        <v>3370</v>
      </c>
      <c r="D49" s="0" t="s">
        <v>3387</v>
      </c>
      <c r="E49" s="0" t="s">
        <v>3388</v>
      </c>
      <c r="F49" s="0" t="s">
        <v>3299</v>
      </c>
      <c r="G49" s="0" t="s">
        <v>1193</v>
      </c>
    </row>
    <row customHeight="1" ht="11.25">
      <c r="A50" s="0" t="s">
        <v>16</v>
      </c>
      <c r="B50" s="0" t="s">
        <v>3369</v>
      </c>
      <c r="C50" s="0" t="s">
        <v>3370</v>
      </c>
      <c r="D50" s="0" t="s">
        <v>3389</v>
      </c>
      <c r="E50" s="0" t="s">
        <v>3390</v>
      </c>
      <c r="F50" s="0" t="s">
        <v>3299</v>
      </c>
      <c r="G50" s="0" t="s">
        <v>1195</v>
      </c>
    </row>
    <row customHeight="1" ht="11.25">
      <c r="A51" s="0" t="s">
        <v>16</v>
      </c>
      <c r="B51" s="0" t="s">
        <v>3369</v>
      </c>
      <c r="C51" s="0" t="s">
        <v>3370</v>
      </c>
      <c r="D51" s="0" t="s">
        <v>3391</v>
      </c>
      <c r="E51" s="0" t="s">
        <v>3392</v>
      </c>
      <c r="F51" s="0" t="s">
        <v>3299</v>
      </c>
      <c r="G51" s="0" t="s">
        <v>1197</v>
      </c>
    </row>
    <row customHeight="1" ht="11.25">
      <c r="A52" s="0" t="s">
        <v>16</v>
      </c>
      <c r="B52" s="0" t="s">
        <v>3393</v>
      </c>
      <c r="C52" s="0" t="s">
        <v>3394</v>
      </c>
      <c r="D52" s="0" t="s">
        <v>3393</v>
      </c>
      <c r="E52" s="0" t="s">
        <v>3394</v>
      </c>
      <c r="F52" s="0" t="s">
        <v>3295</v>
      </c>
      <c r="G52" s="0" t="s">
        <v>1199</v>
      </c>
    </row>
    <row customHeight="1" ht="11.25">
      <c r="A53" s="0" t="s">
        <v>16</v>
      </c>
      <c r="B53" s="0" t="s">
        <v>3395</v>
      </c>
      <c r="C53" s="0" t="s">
        <v>3396</v>
      </c>
      <c r="D53" s="0" t="s">
        <v>3397</v>
      </c>
      <c r="E53" s="0" t="s">
        <v>3398</v>
      </c>
      <c r="F53" s="0" t="s">
        <v>3299</v>
      </c>
      <c r="G53" s="0" t="s">
        <v>1201</v>
      </c>
    </row>
    <row customHeight="1" ht="11.25">
      <c r="A54" s="0" t="s">
        <v>16</v>
      </c>
      <c r="B54" s="0" t="s">
        <v>3395</v>
      </c>
      <c r="C54" s="0" t="s">
        <v>3396</v>
      </c>
      <c r="D54" s="0" t="s">
        <v>3399</v>
      </c>
      <c r="E54" s="0" t="s">
        <v>3400</v>
      </c>
      <c r="F54" s="0" t="s">
        <v>3299</v>
      </c>
      <c r="G54" s="0" t="s">
        <v>1203</v>
      </c>
    </row>
    <row customHeight="1" ht="11.25">
      <c r="A55" s="0" t="s">
        <v>16</v>
      </c>
      <c r="B55" s="0" t="s">
        <v>3395</v>
      </c>
      <c r="C55" s="0" t="s">
        <v>3396</v>
      </c>
      <c r="D55" s="0" t="s">
        <v>3401</v>
      </c>
      <c r="E55" s="0" t="s">
        <v>3402</v>
      </c>
      <c r="F55" s="0" t="s">
        <v>3299</v>
      </c>
      <c r="G55" s="0" t="s">
        <v>1205</v>
      </c>
    </row>
    <row customHeight="1" ht="11.25">
      <c r="A56" s="0" t="s">
        <v>16</v>
      </c>
      <c r="B56" s="0" t="s">
        <v>3395</v>
      </c>
      <c r="C56" s="0" t="s">
        <v>3396</v>
      </c>
      <c r="D56" s="0" t="s">
        <v>3403</v>
      </c>
      <c r="E56" s="0" t="s">
        <v>3404</v>
      </c>
      <c r="F56" s="0" t="s">
        <v>3299</v>
      </c>
      <c r="G56" s="0" t="s">
        <v>1207</v>
      </c>
    </row>
    <row customHeight="1" ht="11.25">
      <c r="A57" s="0" t="s">
        <v>16</v>
      </c>
      <c r="B57" s="0" t="s">
        <v>3395</v>
      </c>
      <c r="C57" s="0" t="s">
        <v>3396</v>
      </c>
      <c r="D57" s="0" t="s">
        <v>3395</v>
      </c>
      <c r="E57" s="0" t="s">
        <v>3396</v>
      </c>
      <c r="F57" s="0" t="s">
        <v>3337</v>
      </c>
      <c r="G57" s="0" t="s">
        <v>1209</v>
      </c>
    </row>
    <row customHeight="1" ht="11.25">
      <c r="A58" s="0" t="s">
        <v>16</v>
      </c>
      <c r="B58" s="0" t="s">
        <v>3395</v>
      </c>
      <c r="C58" s="0" t="s">
        <v>3396</v>
      </c>
      <c r="D58" s="0" t="s">
        <v>3405</v>
      </c>
      <c r="E58" s="0" t="s">
        <v>3406</v>
      </c>
      <c r="F58" s="0" t="s">
        <v>3342</v>
      </c>
      <c r="G58" s="0" t="s">
        <v>1211</v>
      </c>
    </row>
    <row customHeight="1" ht="11.25">
      <c r="A59" s="0" t="s">
        <v>16</v>
      </c>
      <c r="B59" s="0" t="s">
        <v>3395</v>
      </c>
      <c r="C59" s="0" t="s">
        <v>3396</v>
      </c>
      <c r="D59" s="0" t="s">
        <v>3407</v>
      </c>
      <c r="E59" s="0" t="s">
        <v>3408</v>
      </c>
      <c r="F59" s="0" t="s">
        <v>3409</v>
      </c>
      <c r="G59" s="0" t="s">
        <v>1213</v>
      </c>
    </row>
    <row customHeight="1" ht="11.25">
      <c r="A60" s="0" t="s">
        <v>16</v>
      </c>
      <c r="B60" s="0" t="s">
        <v>3395</v>
      </c>
      <c r="C60" s="0" t="s">
        <v>3396</v>
      </c>
      <c r="D60" s="0" t="s">
        <v>3410</v>
      </c>
      <c r="E60" s="0" t="s">
        <v>3411</v>
      </c>
      <c r="F60" s="0" t="s">
        <v>3409</v>
      </c>
      <c r="G60" s="0" t="s">
        <v>1857</v>
      </c>
    </row>
    <row customHeight="1" ht="11.25">
      <c r="A61" s="0" t="s">
        <v>16</v>
      </c>
      <c r="B61" s="0" t="s">
        <v>3395</v>
      </c>
      <c r="C61" s="0" t="s">
        <v>3396</v>
      </c>
      <c r="D61" s="0" t="s">
        <v>3412</v>
      </c>
      <c r="E61" s="0" t="s">
        <v>3413</v>
      </c>
      <c r="F61" s="0" t="s">
        <v>3409</v>
      </c>
      <c r="G61" s="0" t="s">
        <v>3414</v>
      </c>
    </row>
    <row customHeight="1" ht="11.25">
      <c r="A62" s="0" t="s">
        <v>16</v>
      </c>
      <c r="B62" s="0" t="s">
        <v>3395</v>
      </c>
      <c r="C62" s="0" t="s">
        <v>3396</v>
      </c>
      <c r="D62" s="0" t="s">
        <v>3415</v>
      </c>
      <c r="E62" s="0" t="s">
        <v>3416</v>
      </c>
      <c r="F62" s="0" t="s">
        <v>3299</v>
      </c>
      <c r="G62" s="0" t="s">
        <v>3417</v>
      </c>
    </row>
    <row customHeight="1" ht="11.25">
      <c r="A63" s="0" t="s">
        <v>16</v>
      </c>
      <c r="B63" s="0" t="s">
        <v>3395</v>
      </c>
      <c r="C63" s="0" t="s">
        <v>3396</v>
      </c>
      <c r="D63" s="0" t="s">
        <v>3418</v>
      </c>
      <c r="E63" s="0" t="s">
        <v>3419</v>
      </c>
      <c r="F63" s="0" t="s">
        <v>3299</v>
      </c>
      <c r="G63" s="0" t="s">
        <v>3420</v>
      </c>
    </row>
    <row customHeight="1" ht="11.25">
      <c r="A64" s="0" t="s">
        <v>16</v>
      </c>
      <c r="B64" s="0" t="s">
        <v>3395</v>
      </c>
      <c r="C64" s="0" t="s">
        <v>3396</v>
      </c>
      <c r="D64" s="0" t="s">
        <v>3421</v>
      </c>
      <c r="E64" s="0" t="s">
        <v>3422</v>
      </c>
      <c r="F64" s="0" t="s">
        <v>3299</v>
      </c>
      <c r="G64" s="0" t="s">
        <v>3423</v>
      </c>
    </row>
    <row customHeight="1" ht="11.25">
      <c r="A65" s="0" t="s">
        <v>16</v>
      </c>
      <c r="B65" s="0" t="s">
        <v>3395</v>
      </c>
      <c r="C65" s="0" t="s">
        <v>3396</v>
      </c>
      <c r="D65" s="0" t="s">
        <v>3424</v>
      </c>
      <c r="E65" s="0" t="s">
        <v>3425</v>
      </c>
      <c r="F65" s="0" t="s">
        <v>3299</v>
      </c>
      <c r="G65" s="0" t="s">
        <v>3426</v>
      </c>
    </row>
    <row customHeight="1" ht="11.25">
      <c r="A66" s="0" t="s">
        <v>16</v>
      </c>
      <c r="B66" s="0" t="s">
        <v>3427</v>
      </c>
      <c r="C66" s="0" t="s">
        <v>3428</v>
      </c>
      <c r="D66" s="0" t="s">
        <v>3427</v>
      </c>
      <c r="E66" s="0" t="s">
        <v>3428</v>
      </c>
      <c r="F66" s="0" t="s">
        <v>3295</v>
      </c>
      <c r="G66" s="0" t="s">
        <v>3429</v>
      </c>
    </row>
    <row customHeight="1" ht="11.25">
      <c r="A67" s="0" t="s">
        <v>16</v>
      </c>
      <c r="B67" s="0" t="s">
        <v>3430</v>
      </c>
      <c r="C67" s="0" t="s">
        <v>3431</v>
      </c>
      <c r="D67" s="0" t="s">
        <v>3432</v>
      </c>
      <c r="E67" s="0" t="s">
        <v>3433</v>
      </c>
      <c r="F67" s="0" t="s">
        <v>3299</v>
      </c>
      <c r="G67" s="0" t="s">
        <v>2168</v>
      </c>
    </row>
    <row customHeight="1" ht="11.25">
      <c r="A68" s="0" t="s">
        <v>16</v>
      </c>
      <c r="B68" s="0" t="s">
        <v>3430</v>
      </c>
      <c r="C68" s="0" t="s">
        <v>3431</v>
      </c>
      <c r="D68" s="0" t="s">
        <v>3434</v>
      </c>
      <c r="E68" s="0" t="s">
        <v>3435</v>
      </c>
      <c r="F68" s="0" t="s">
        <v>3299</v>
      </c>
      <c r="G68" s="0" t="s">
        <v>3436</v>
      </c>
    </row>
    <row customHeight="1" ht="11.25">
      <c r="A69" s="0" t="s">
        <v>16</v>
      </c>
      <c r="B69" s="0" t="s">
        <v>3430</v>
      </c>
      <c r="C69" s="0" t="s">
        <v>3431</v>
      </c>
      <c r="D69" s="0" t="s">
        <v>3437</v>
      </c>
      <c r="E69" s="0" t="s">
        <v>3438</v>
      </c>
      <c r="F69" s="0" t="s">
        <v>3299</v>
      </c>
      <c r="G69" s="0" t="s">
        <v>2368</v>
      </c>
    </row>
    <row customHeight="1" ht="11.25">
      <c r="A70" s="0" t="s">
        <v>16</v>
      </c>
      <c r="B70" s="0" t="s">
        <v>3430</v>
      </c>
      <c r="C70" s="0" t="s">
        <v>3431</v>
      </c>
      <c r="D70" s="0" t="s">
        <v>3430</v>
      </c>
      <c r="E70" s="0" t="s">
        <v>3431</v>
      </c>
      <c r="F70" s="0" t="s">
        <v>3337</v>
      </c>
      <c r="G70" s="0" t="s">
        <v>3439</v>
      </c>
    </row>
    <row customHeight="1" ht="11.25">
      <c r="A71" s="0" t="s">
        <v>16</v>
      </c>
      <c r="B71" s="0" t="s">
        <v>3430</v>
      </c>
      <c r="C71" s="0" t="s">
        <v>3431</v>
      </c>
      <c r="D71" s="0" t="s">
        <v>3440</v>
      </c>
      <c r="E71" s="0" t="s">
        <v>3441</v>
      </c>
      <c r="F71" s="0" t="s">
        <v>3299</v>
      </c>
      <c r="G71" s="0" t="s">
        <v>3442</v>
      </c>
    </row>
    <row customHeight="1" ht="11.25">
      <c r="A72" s="0" t="s">
        <v>16</v>
      </c>
      <c r="B72" s="0" t="s">
        <v>3430</v>
      </c>
      <c r="C72" s="0" t="s">
        <v>3431</v>
      </c>
      <c r="D72" s="0" t="s">
        <v>3443</v>
      </c>
      <c r="E72" s="0" t="s">
        <v>3444</v>
      </c>
      <c r="F72" s="0" t="s">
        <v>3299</v>
      </c>
      <c r="G72" s="0" t="s">
        <v>3445</v>
      </c>
    </row>
    <row customHeight="1" ht="11.25">
      <c r="A73" s="0" t="s">
        <v>16</v>
      </c>
      <c r="B73" s="0" t="s">
        <v>3430</v>
      </c>
      <c r="C73" s="0" t="s">
        <v>3431</v>
      </c>
      <c r="D73" s="0" t="s">
        <v>3446</v>
      </c>
      <c r="E73" s="0" t="s">
        <v>3447</v>
      </c>
      <c r="F73" s="0" t="s">
        <v>3342</v>
      </c>
      <c r="G73" s="0" t="s">
        <v>3448</v>
      </c>
    </row>
    <row customHeight="1" ht="11.25">
      <c r="A74" s="0" t="s">
        <v>16</v>
      </c>
      <c r="B74" s="0" t="s">
        <v>3430</v>
      </c>
      <c r="C74" s="0" t="s">
        <v>3431</v>
      </c>
      <c r="D74" s="0" t="s">
        <v>3449</v>
      </c>
      <c r="E74" s="0" t="s">
        <v>3450</v>
      </c>
      <c r="F74" s="0" t="s">
        <v>3299</v>
      </c>
      <c r="G74" s="0" t="s">
        <v>3451</v>
      </c>
    </row>
    <row customHeight="1" ht="11.25">
      <c r="A75" s="0" t="s">
        <v>16</v>
      </c>
      <c r="B75" s="0" t="s">
        <v>3430</v>
      </c>
      <c r="C75" s="0" t="s">
        <v>3431</v>
      </c>
      <c r="D75" s="0" t="s">
        <v>3452</v>
      </c>
      <c r="E75" s="0" t="s">
        <v>3453</v>
      </c>
      <c r="F75" s="0" t="s">
        <v>3299</v>
      </c>
      <c r="G75" s="0" t="s">
        <v>3454</v>
      </c>
    </row>
    <row customHeight="1" ht="11.25">
      <c r="A76" s="0" t="s">
        <v>16</v>
      </c>
      <c r="B76" s="0" t="s">
        <v>3430</v>
      </c>
      <c r="C76" s="0" t="s">
        <v>3431</v>
      </c>
      <c r="D76" s="0" t="s">
        <v>3455</v>
      </c>
      <c r="E76" s="0" t="s">
        <v>3456</v>
      </c>
      <c r="F76" s="0" t="s">
        <v>3299</v>
      </c>
      <c r="G76" s="0" t="s">
        <v>3457</v>
      </c>
    </row>
    <row customHeight="1" ht="11.25">
      <c r="A77" s="0" t="s">
        <v>16</v>
      </c>
      <c r="B77" s="0" t="s">
        <v>3430</v>
      </c>
      <c r="C77" s="0" t="s">
        <v>3431</v>
      </c>
      <c r="D77" s="0" t="s">
        <v>3458</v>
      </c>
      <c r="E77" s="0" t="s">
        <v>3459</v>
      </c>
      <c r="F77" s="0" t="s">
        <v>3299</v>
      </c>
      <c r="G77" s="0" t="s">
        <v>3460</v>
      </c>
    </row>
    <row customHeight="1" ht="11.25">
      <c r="A78" s="0" t="s">
        <v>16</v>
      </c>
      <c r="B78" s="0" t="s">
        <v>3430</v>
      </c>
      <c r="C78" s="0" t="s">
        <v>3431</v>
      </c>
      <c r="D78" s="0" t="s">
        <v>3461</v>
      </c>
      <c r="E78" s="0" t="s">
        <v>3462</v>
      </c>
      <c r="F78" s="0" t="s">
        <v>3299</v>
      </c>
      <c r="G78" s="0" t="s">
        <v>3463</v>
      </c>
    </row>
    <row customHeight="1" ht="11.25">
      <c r="A79" s="0" t="s">
        <v>16</v>
      </c>
      <c r="B79" s="0" t="s">
        <v>3430</v>
      </c>
      <c r="C79" s="0" t="s">
        <v>3431</v>
      </c>
      <c r="D79" s="0" t="s">
        <v>3464</v>
      </c>
      <c r="E79" s="0" t="s">
        <v>3465</v>
      </c>
      <c r="F79" s="0" t="s">
        <v>3299</v>
      </c>
      <c r="G79" s="0" t="s">
        <v>3466</v>
      </c>
    </row>
    <row customHeight="1" ht="11.25">
      <c r="A80" s="0" t="s">
        <v>16</v>
      </c>
      <c r="B80" s="0" t="s">
        <v>3430</v>
      </c>
      <c r="C80" s="0" t="s">
        <v>3431</v>
      </c>
      <c r="D80" s="0" t="s">
        <v>3467</v>
      </c>
      <c r="E80" s="0" t="s">
        <v>3468</v>
      </c>
      <c r="F80" s="0" t="s">
        <v>3299</v>
      </c>
      <c r="G80" s="0" t="s">
        <v>3469</v>
      </c>
    </row>
    <row customHeight="1" ht="11.25">
      <c r="A81" s="0" t="s">
        <v>16</v>
      </c>
      <c r="B81" s="0" t="s">
        <v>3470</v>
      </c>
      <c r="C81" s="0" t="s">
        <v>3471</v>
      </c>
      <c r="D81" s="0" t="s">
        <v>3472</v>
      </c>
      <c r="E81" s="0" t="s">
        <v>3473</v>
      </c>
      <c r="F81" s="0" t="s">
        <v>3299</v>
      </c>
      <c r="G81" s="0" t="s">
        <v>3474</v>
      </c>
    </row>
    <row customHeight="1" ht="11.25">
      <c r="A82" s="0" t="s">
        <v>16</v>
      </c>
      <c r="B82" s="0" t="s">
        <v>3470</v>
      </c>
      <c r="C82" s="0" t="s">
        <v>3471</v>
      </c>
      <c r="D82" s="0" t="s">
        <v>3475</v>
      </c>
      <c r="E82" s="0" t="s">
        <v>3476</v>
      </c>
      <c r="F82" s="0" t="s">
        <v>3299</v>
      </c>
      <c r="G82" s="0" t="s">
        <v>3477</v>
      </c>
    </row>
    <row customHeight="1" ht="11.25">
      <c r="A83" s="0" t="s">
        <v>16</v>
      </c>
      <c r="B83" s="0" t="s">
        <v>3470</v>
      </c>
      <c r="C83" s="0" t="s">
        <v>3471</v>
      </c>
      <c r="D83" s="0" t="s">
        <v>3478</v>
      </c>
      <c r="E83" s="0" t="s">
        <v>3479</v>
      </c>
      <c r="F83" s="0" t="s">
        <v>3299</v>
      </c>
      <c r="G83" s="0" t="s">
        <v>3480</v>
      </c>
    </row>
    <row customHeight="1" ht="11.25">
      <c r="A84" s="0" t="s">
        <v>16</v>
      </c>
      <c r="B84" s="0" t="s">
        <v>3470</v>
      </c>
      <c r="C84" s="0" t="s">
        <v>3471</v>
      </c>
      <c r="D84" s="0" t="s">
        <v>3481</v>
      </c>
      <c r="E84" s="0" t="s">
        <v>3482</v>
      </c>
      <c r="F84" s="0" t="s">
        <v>3299</v>
      </c>
      <c r="G84" s="0" t="s">
        <v>3483</v>
      </c>
    </row>
    <row customHeight="1" ht="11.25">
      <c r="A85" s="0" t="s">
        <v>16</v>
      </c>
      <c r="B85" s="0" t="s">
        <v>3470</v>
      </c>
      <c r="C85" s="0" t="s">
        <v>3471</v>
      </c>
      <c r="D85" s="0" t="s">
        <v>3484</v>
      </c>
      <c r="E85" s="0" t="s">
        <v>3485</v>
      </c>
      <c r="F85" s="0" t="s">
        <v>3299</v>
      </c>
      <c r="G85" s="0" t="s">
        <v>3486</v>
      </c>
    </row>
    <row customHeight="1" ht="11.25">
      <c r="A86" s="0" t="s">
        <v>16</v>
      </c>
      <c r="B86" s="0" t="s">
        <v>3470</v>
      </c>
      <c r="C86" s="0" t="s">
        <v>3471</v>
      </c>
      <c r="D86" s="0" t="s">
        <v>3487</v>
      </c>
      <c r="E86" s="0" t="s">
        <v>3488</v>
      </c>
      <c r="F86" s="0" t="s">
        <v>3299</v>
      </c>
      <c r="G86" s="0" t="s">
        <v>3489</v>
      </c>
    </row>
    <row customHeight="1" ht="11.25">
      <c r="A87" s="0" t="s">
        <v>16</v>
      </c>
      <c r="B87" s="0" t="s">
        <v>3470</v>
      </c>
      <c r="C87" s="0" t="s">
        <v>3471</v>
      </c>
      <c r="D87" s="0" t="s">
        <v>3490</v>
      </c>
      <c r="E87" s="0" t="s">
        <v>3491</v>
      </c>
      <c r="F87" s="0" t="s">
        <v>3299</v>
      </c>
      <c r="G87" s="0" t="s">
        <v>3492</v>
      </c>
    </row>
    <row customHeight="1" ht="11.25">
      <c r="A88" s="0" t="s">
        <v>16</v>
      </c>
      <c r="B88" s="0" t="s">
        <v>3470</v>
      </c>
      <c r="C88" s="0" t="s">
        <v>3471</v>
      </c>
      <c r="D88" s="0" t="s">
        <v>3470</v>
      </c>
      <c r="E88" s="0" t="s">
        <v>3471</v>
      </c>
      <c r="F88" s="0" t="s">
        <v>3337</v>
      </c>
      <c r="G88" s="0" t="s">
        <v>3493</v>
      </c>
    </row>
    <row customHeight="1" ht="11.25">
      <c r="A89" s="0" t="s">
        <v>16</v>
      </c>
      <c r="B89" s="0" t="s">
        <v>3470</v>
      </c>
      <c r="C89" s="0" t="s">
        <v>3471</v>
      </c>
      <c r="D89" s="0" t="s">
        <v>3494</v>
      </c>
      <c r="E89" s="0" t="s">
        <v>3495</v>
      </c>
      <c r="F89" s="0" t="s">
        <v>3299</v>
      </c>
      <c r="G89" s="0" t="s">
        <v>3496</v>
      </c>
    </row>
    <row customHeight="1" ht="11.25">
      <c r="A90" s="0" t="s">
        <v>16</v>
      </c>
      <c r="B90" s="0" t="s">
        <v>3470</v>
      </c>
      <c r="C90" s="0" t="s">
        <v>3471</v>
      </c>
      <c r="D90" s="0" t="s">
        <v>3497</v>
      </c>
      <c r="E90" s="0" t="s">
        <v>3498</v>
      </c>
      <c r="F90" s="0" t="s">
        <v>3299</v>
      </c>
      <c r="G90" s="0" t="s">
        <v>3499</v>
      </c>
    </row>
    <row customHeight="1" ht="11.25">
      <c r="A91" s="0" t="s">
        <v>16</v>
      </c>
      <c r="B91" s="0" t="s">
        <v>3470</v>
      </c>
      <c r="C91" s="0" t="s">
        <v>3471</v>
      </c>
      <c r="D91" s="0" t="s">
        <v>3500</v>
      </c>
      <c r="E91" s="0" t="s">
        <v>3501</v>
      </c>
      <c r="F91" s="0" t="s">
        <v>3299</v>
      </c>
      <c r="G91" s="0" t="s">
        <v>3502</v>
      </c>
    </row>
    <row customHeight="1" ht="11.25">
      <c r="A92" s="0" t="s">
        <v>16</v>
      </c>
      <c r="B92" s="0" t="s">
        <v>3470</v>
      </c>
      <c r="C92" s="0" t="s">
        <v>3471</v>
      </c>
      <c r="D92" s="0" t="s">
        <v>3503</v>
      </c>
      <c r="E92" s="0" t="s">
        <v>3504</v>
      </c>
      <c r="F92" s="0" t="s">
        <v>3299</v>
      </c>
      <c r="G92" s="0" t="s">
        <v>3505</v>
      </c>
    </row>
    <row customHeight="1" ht="11.25">
      <c r="A93" s="0" t="s">
        <v>16</v>
      </c>
      <c r="B93" s="0" t="s">
        <v>3506</v>
      </c>
      <c r="C93" s="0" t="s">
        <v>3507</v>
      </c>
      <c r="D93" s="0" t="s">
        <v>3508</v>
      </c>
      <c r="E93" s="0" t="s">
        <v>3509</v>
      </c>
      <c r="F93" s="0" t="s">
        <v>3299</v>
      </c>
      <c r="G93" s="0" t="s">
        <v>3510</v>
      </c>
    </row>
    <row customHeight="1" ht="11.25">
      <c r="A94" s="0" t="s">
        <v>16</v>
      </c>
      <c r="B94" s="0" t="s">
        <v>3506</v>
      </c>
      <c r="C94" s="0" t="s">
        <v>3507</v>
      </c>
      <c r="D94" s="0" t="s">
        <v>3511</v>
      </c>
      <c r="E94" s="0" t="s">
        <v>3512</v>
      </c>
      <c r="F94" s="0" t="s">
        <v>3299</v>
      </c>
      <c r="G94" s="0" t="s">
        <v>3513</v>
      </c>
    </row>
    <row customHeight="1" ht="11.25">
      <c r="A95" s="0" t="s">
        <v>16</v>
      </c>
      <c r="B95" s="0" t="s">
        <v>3506</v>
      </c>
      <c r="C95" s="0" t="s">
        <v>3507</v>
      </c>
      <c r="D95" s="0" t="s">
        <v>3514</v>
      </c>
      <c r="E95" s="0" t="s">
        <v>3515</v>
      </c>
      <c r="F95" s="0" t="s">
        <v>3299</v>
      </c>
      <c r="G95" s="0" t="s">
        <v>3516</v>
      </c>
    </row>
    <row customHeight="1" ht="11.25">
      <c r="A96" s="0" t="s">
        <v>16</v>
      </c>
      <c r="B96" s="0" t="s">
        <v>3506</v>
      </c>
      <c r="C96" s="0" t="s">
        <v>3507</v>
      </c>
      <c r="D96" s="0" t="s">
        <v>3517</v>
      </c>
      <c r="E96" s="0" t="s">
        <v>3518</v>
      </c>
      <c r="F96" s="0" t="s">
        <v>3299</v>
      </c>
      <c r="G96" s="0" t="s">
        <v>3519</v>
      </c>
    </row>
    <row customHeight="1" ht="11.25">
      <c r="A97" s="0" t="s">
        <v>16</v>
      </c>
      <c r="B97" s="0" t="s">
        <v>3506</v>
      </c>
      <c r="C97" s="0" t="s">
        <v>3507</v>
      </c>
      <c r="D97" s="0" t="s">
        <v>3520</v>
      </c>
      <c r="E97" s="0" t="s">
        <v>3521</v>
      </c>
      <c r="F97" s="0" t="s">
        <v>3299</v>
      </c>
      <c r="G97" s="0" t="s">
        <v>3522</v>
      </c>
    </row>
    <row customHeight="1" ht="11.25">
      <c r="A98" s="0" t="s">
        <v>16</v>
      </c>
      <c r="B98" s="0" t="s">
        <v>3506</v>
      </c>
      <c r="C98" s="0" t="s">
        <v>3507</v>
      </c>
      <c r="D98" s="0" t="s">
        <v>3523</v>
      </c>
      <c r="E98" s="0" t="s">
        <v>3524</v>
      </c>
      <c r="F98" s="0" t="s">
        <v>3299</v>
      </c>
      <c r="G98" s="0" t="s">
        <v>3525</v>
      </c>
    </row>
    <row customHeight="1" ht="11.25">
      <c r="A99" s="0" t="s">
        <v>16</v>
      </c>
      <c r="B99" s="0" t="s">
        <v>3506</v>
      </c>
      <c r="C99" s="0" t="s">
        <v>3507</v>
      </c>
      <c r="D99" s="0" t="s">
        <v>3526</v>
      </c>
      <c r="E99" s="0" t="s">
        <v>3527</v>
      </c>
      <c r="F99" s="0" t="s">
        <v>3299</v>
      </c>
      <c r="G99" s="0" t="s">
        <v>3528</v>
      </c>
    </row>
    <row customHeight="1" ht="11.25">
      <c r="A100" s="0" t="s">
        <v>16</v>
      </c>
      <c r="B100" s="0" t="s">
        <v>3506</v>
      </c>
      <c r="C100" s="0" t="s">
        <v>3507</v>
      </c>
      <c r="D100" s="0" t="s">
        <v>3529</v>
      </c>
      <c r="E100" s="0" t="s">
        <v>3530</v>
      </c>
      <c r="F100" s="0" t="s">
        <v>3299</v>
      </c>
      <c r="G100" s="0" t="s">
        <v>3531</v>
      </c>
    </row>
    <row customHeight="1" ht="11.25">
      <c r="A101" s="0" t="s">
        <v>16</v>
      </c>
      <c r="B101" s="0" t="s">
        <v>3506</v>
      </c>
      <c r="C101" s="0" t="s">
        <v>3507</v>
      </c>
      <c r="D101" s="0" t="s">
        <v>3532</v>
      </c>
      <c r="E101" s="0" t="s">
        <v>3533</v>
      </c>
      <c r="F101" s="0" t="s">
        <v>3299</v>
      </c>
      <c r="G101" s="0" t="s">
        <v>3534</v>
      </c>
    </row>
    <row customHeight="1" ht="11.25">
      <c r="A102" s="0" t="s">
        <v>16</v>
      </c>
      <c r="B102" s="0" t="s">
        <v>3506</v>
      </c>
      <c r="C102" s="0" t="s">
        <v>3507</v>
      </c>
      <c r="D102" s="0" t="s">
        <v>3506</v>
      </c>
      <c r="E102" s="0" t="s">
        <v>3507</v>
      </c>
      <c r="F102" s="0" t="s">
        <v>3337</v>
      </c>
      <c r="G102" s="0" t="s">
        <v>3535</v>
      </c>
    </row>
    <row customHeight="1" ht="11.25">
      <c r="A103" s="0" t="s">
        <v>16</v>
      </c>
      <c r="B103" s="0" t="s">
        <v>3506</v>
      </c>
      <c r="C103" s="0" t="s">
        <v>3507</v>
      </c>
      <c r="D103" s="0" t="s">
        <v>3536</v>
      </c>
      <c r="E103" s="0" t="s">
        <v>3537</v>
      </c>
      <c r="F103" s="0" t="s">
        <v>3299</v>
      </c>
      <c r="G103" s="0" t="s">
        <v>3538</v>
      </c>
    </row>
    <row customHeight="1" ht="11.25">
      <c r="A104" s="0" t="s">
        <v>16</v>
      </c>
      <c r="B104" s="0" t="s">
        <v>3506</v>
      </c>
      <c r="C104" s="0" t="s">
        <v>3507</v>
      </c>
      <c r="D104" s="0" t="s">
        <v>3539</v>
      </c>
      <c r="E104" s="0" t="s">
        <v>3540</v>
      </c>
      <c r="F104" s="0" t="s">
        <v>3299</v>
      </c>
      <c r="G104" s="0" t="s">
        <v>3541</v>
      </c>
    </row>
    <row customHeight="1" ht="11.25">
      <c r="A105" s="0" t="s">
        <v>16</v>
      </c>
      <c r="B105" s="0" t="s">
        <v>3506</v>
      </c>
      <c r="C105" s="0" t="s">
        <v>3507</v>
      </c>
      <c r="D105" s="0" t="s">
        <v>3542</v>
      </c>
      <c r="E105" s="0" t="s">
        <v>3543</v>
      </c>
      <c r="F105" s="0" t="s">
        <v>3299</v>
      </c>
      <c r="G105" s="0" t="s">
        <v>3544</v>
      </c>
    </row>
    <row customHeight="1" ht="11.25">
      <c r="A106" s="0" t="s">
        <v>16</v>
      </c>
      <c r="B106" s="0" t="s">
        <v>3506</v>
      </c>
      <c r="C106" s="0" t="s">
        <v>3507</v>
      </c>
      <c r="D106" s="0" t="s">
        <v>3545</v>
      </c>
      <c r="E106" s="0" t="s">
        <v>3546</v>
      </c>
      <c r="F106" s="0" t="s">
        <v>3299</v>
      </c>
      <c r="G106" s="0" t="s">
        <v>3547</v>
      </c>
    </row>
    <row customHeight="1" ht="11.25">
      <c r="A107" s="0" t="s">
        <v>16</v>
      </c>
      <c r="B107" s="0" t="s">
        <v>106</v>
      </c>
      <c r="C107" s="0" t="s">
        <v>107</v>
      </c>
      <c r="D107" s="0" t="s">
        <v>106</v>
      </c>
      <c r="E107" s="0" t="s">
        <v>107</v>
      </c>
      <c r="F107" s="0" t="s">
        <v>3304</v>
      </c>
      <c r="G107" s="0" t="s">
        <v>105</v>
      </c>
    </row>
    <row customHeight="1" ht="11.25">
      <c r="A108" s="0" t="s">
        <v>16</v>
      </c>
      <c r="B108" s="0" t="s">
        <v>3548</v>
      </c>
      <c r="C108" s="0" t="s">
        <v>3549</v>
      </c>
      <c r="D108" s="0" t="s">
        <v>3548</v>
      </c>
      <c r="E108" s="0" t="s">
        <v>3549</v>
      </c>
      <c r="F108" s="0" t="s">
        <v>3295</v>
      </c>
      <c r="G108" s="0" t="s">
        <v>3550</v>
      </c>
    </row>
    <row customHeight="1" ht="11.25">
      <c r="A109" s="0" t="s">
        <v>16</v>
      </c>
      <c r="B109" s="0" t="s">
        <v>3551</v>
      </c>
      <c r="C109" s="0" t="s">
        <v>3552</v>
      </c>
      <c r="D109" s="0" t="s">
        <v>3434</v>
      </c>
      <c r="E109" s="0" t="s">
        <v>3553</v>
      </c>
      <c r="F109" s="0" t="s">
        <v>3299</v>
      </c>
      <c r="G109" s="0" t="s">
        <v>3554</v>
      </c>
    </row>
    <row customHeight="1" ht="11.25">
      <c r="A110" s="0" t="s">
        <v>16</v>
      </c>
      <c r="B110" s="0" t="s">
        <v>3551</v>
      </c>
      <c r="C110" s="0" t="s">
        <v>3552</v>
      </c>
      <c r="D110" s="0" t="s">
        <v>3555</v>
      </c>
      <c r="E110" s="0" t="s">
        <v>3556</v>
      </c>
      <c r="F110" s="0" t="s">
        <v>3299</v>
      </c>
      <c r="G110" s="0" t="s">
        <v>3557</v>
      </c>
    </row>
    <row customHeight="1" ht="11.25">
      <c r="A111" s="0" t="s">
        <v>16</v>
      </c>
      <c r="B111" s="0" t="s">
        <v>3551</v>
      </c>
      <c r="C111" s="0" t="s">
        <v>3552</v>
      </c>
      <c r="D111" s="0" t="s">
        <v>3558</v>
      </c>
      <c r="E111" s="0" t="s">
        <v>3559</v>
      </c>
      <c r="F111" s="0" t="s">
        <v>3299</v>
      </c>
      <c r="G111" s="0" t="s">
        <v>3560</v>
      </c>
    </row>
    <row customHeight="1" ht="11.25">
      <c r="A112" s="0" t="s">
        <v>16</v>
      </c>
      <c r="B112" s="0" t="s">
        <v>3551</v>
      </c>
      <c r="C112" s="0" t="s">
        <v>3552</v>
      </c>
      <c r="D112" s="0" t="s">
        <v>3561</v>
      </c>
      <c r="E112" s="0" t="s">
        <v>3562</v>
      </c>
      <c r="F112" s="0" t="s">
        <v>3299</v>
      </c>
      <c r="G112" s="0" t="s">
        <v>633</v>
      </c>
    </row>
    <row customHeight="1" ht="11.25">
      <c r="A113" s="0" t="s">
        <v>16</v>
      </c>
      <c r="B113" s="0" t="s">
        <v>3551</v>
      </c>
      <c r="C113" s="0" t="s">
        <v>3552</v>
      </c>
      <c r="D113" s="0" t="s">
        <v>3563</v>
      </c>
      <c r="E113" s="0" t="s">
        <v>3564</v>
      </c>
      <c r="F113" s="0" t="s">
        <v>3299</v>
      </c>
      <c r="G113" s="0" t="s">
        <v>3565</v>
      </c>
    </row>
    <row customHeight="1" ht="11.25">
      <c r="A114" s="0" t="s">
        <v>16</v>
      </c>
      <c r="B114" s="0" t="s">
        <v>3551</v>
      </c>
      <c r="C114" s="0" t="s">
        <v>3552</v>
      </c>
      <c r="D114" s="0" t="s">
        <v>3566</v>
      </c>
      <c r="E114" s="0" t="s">
        <v>3567</v>
      </c>
      <c r="F114" s="0" t="s">
        <v>3299</v>
      </c>
      <c r="G114" s="0" t="s">
        <v>3568</v>
      </c>
    </row>
    <row customHeight="1" ht="11.25">
      <c r="A115" s="0" t="s">
        <v>16</v>
      </c>
      <c r="B115" s="0" t="s">
        <v>3551</v>
      </c>
      <c r="C115" s="0" t="s">
        <v>3552</v>
      </c>
      <c r="D115" s="0" t="s">
        <v>3569</v>
      </c>
      <c r="E115" s="0" t="s">
        <v>3570</v>
      </c>
      <c r="F115" s="0" t="s">
        <v>3299</v>
      </c>
      <c r="G115" s="0" t="s">
        <v>3571</v>
      </c>
    </row>
    <row customHeight="1" ht="11.25">
      <c r="A116" s="0" t="s">
        <v>16</v>
      </c>
      <c r="B116" s="0" t="s">
        <v>3551</v>
      </c>
      <c r="C116" s="0" t="s">
        <v>3552</v>
      </c>
      <c r="D116" s="0" t="s">
        <v>3572</v>
      </c>
      <c r="E116" s="0" t="s">
        <v>3573</v>
      </c>
      <c r="F116" s="0" t="s">
        <v>3299</v>
      </c>
      <c r="G116" s="0" t="s">
        <v>3574</v>
      </c>
    </row>
    <row customHeight="1" ht="11.25">
      <c r="A117" s="0" t="s">
        <v>16</v>
      </c>
      <c r="B117" s="0" t="s">
        <v>3551</v>
      </c>
      <c r="C117" s="0" t="s">
        <v>3552</v>
      </c>
      <c r="D117" s="0" t="s">
        <v>3575</v>
      </c>
      <c r="E117" s="0" t="s">
        <v>3576</v>
      </c>
      <c r="F117" s="0" t="s">
        <v>3299</v>
      </c>
      <c r="G117" s="0" t="s">
        <v>3577</v>
      </c>
    </row>
    <row customHeight="1" ht="11.25">
      <c r="A118" s="0" t="s">
        <v>16</v>
      </c>
      <c r="B118" s="0" t="s">
        <v>3551</v>
      </c>
      <c r="C118" s="0" t="s">
        <v>3552</v>
      </c>
      <c r="D118" s="0" t="s">
        <v>3578</v>
      </c>
      <c r="E118" s="0" t="s">
        <v>3579</v>
      </c>
      <c r="F118" s="0" t="s">
        <v>3299</v>
      </c>
      <c r="G118" s="0" t="s">
        <v>3580</v>
      </c>
    </row>
    <row customHeight="1" ht="11.25">
      <c r="A119" s="0" t="s">
        <v>16</v>
      </c>
      <c r="B119" s="0" t="s">
        <v>3551</v>
      </c>
      <c r="C119" s="0" t="s">
        <v>3552</v>
      </c>
      <c r="D119" s="0" t="s">
        <v>3581</v>
      </c>
      <c r="E119" s="0" t="s">
        <v>3582</v>
      </c>
      <c r="F119" s="0" t="s">
        <v>3299</v>
      </c>
      <c r="G119" s="0" t="s">
        <v>3583</v>
      </c>
    </row>
    <row customHeight="1" ht="11.25">
      <c r="A120" s="0" t="s">
        <v>16</v>
      </c>
      <c r="B120" s="0" t="s">
        <v>3551</v>
      </c>
      <c r="C120" s="0" t="s">
        <v>3552</v>
      </c>
      <c r="D120" s="0" t="s">
        <v>3584</v>
      </c>
      <c r="E120" s="0" t="s">
        <v>3585</v>
      </c>
      <c r="F120" s="0" t="s">
        <v>3299</v>
      </c>
      <c r="G120" s="0" t="s">
        <v>3586</v>
      </c>
    </row>
    <row customHeight="1" ht="11.25">
      <c r="A121" s="0" t="s">
        <v>16</v>
      </c>
      <c r="B121" s="0" t="s">
        <v>3551</v>
      </c>
      <c r="C121" s="0" t="s">
        <v>3552</v>
      </c>
      <c r="D121" s="0" t="s">
        <v>3551</v>
      </c>
      <c r="E121" s="0" t="s">
        <v>3552</v>
      </c>
      <c r="F121" s="0" t="s">
        <v>3337</v>
      </c>
      <c r="G121" s="0" t="s">
        <v>3587</v>
      </c>
    </row>
    <row customHeight="1" ht="11.25">
      <c r="A122" s="0" t="s">
        <v>16</v>
      </c>
      <c r="B122" s="0" t="s">
        <v>3551</v>
      </c>
      <c r="C122" s="0" t="s">
        <v>3552</v>
      </c>
      <c r="D122" s="0" t="s">
        <v>3588</v>
      </c>
      <c r="E122" s="0" t="s">
        <v>3589</v>
      </c>
      <c r="F122" s="0" t="s">
        <v>3299</v>
      </c>
      <c r="G122" s="0" t="s">
        <v>3590</v>
      </c>
    </row>
    <row customHeight="1" ht="11.25">
      <c r="A123" s="0" t="s">
        <v>16</v>
      </c>
      <c r="B123" s="0" t="s">
        <v>3551</v>
      </c>
      <c r="C123" s="0" t="s">
        <v>3552</v>
      </c>
      <c r="D123" s="0" t="s">
        <v>3591</v>
      </c>
      <c r="E123" s="0" t="s">
        <v>3592</v>
      </c>
      <c r="F123" s="0" t="s">
        <v>3299</v>
      </c>
      <c r="G123" s="0" t="s">
        <v>3593</v>
      </c>
    </row>
    <row customHeight="1" ht="11.25">
      <c r="A124" s="0" t="s">
        <v>16</v>
      </c>
      <c r="B124" s="0" t="s">
        <v>3551</v>
      </c>
      <c r="C124" s="0" t="s">
        <v>3552</v>
      </c>
      <c r="D124" s="0" t="s">
        <v>3594</v>
      </c>
      <c r="E124" s="0" t="s">
        <v>3595</v>
      </c>
      <c r="F124" s="0" t="s">
        <v>3299</v>
      </c>
      <c r="G124" s="0" t="s">
        <v>3596</v>
      </c>
    </row>
    <row customHeight="1" ht="11.25">
      <c r="A125" s="0" t="s">
        <v>16</v>
      </c>
      <c r="B125" s="0" t="s">
        <v>3597</v>
      </c>
      <c r="C125" s="0" t="s">
        <v>3598</v>
      </c>
      <c r="D125" s="0" t="s">
        <v>3599</v>
      </c>
      <c r="E125" s="0" t="s">
        <v>3600</v>
      </c>
      <c r="F125" s="0" t="s">
        <v>3299</v>
      </c>
      <c r="G125" s="0" t="s">
        <v>3601</v>
      </c>
    </row>
    <row customHeight="1" ht="11.25">
      <c r="A126" s="0" t="s">
        <v>16</v>
      </c>
      <c r="B126" s="0" t="s">
        <v>3597</v>
      </c>
      <c r="C126" s="0" t="s">
        <v>3598</v>
      </c>
      <c r="D126" s="0" t="s">
        <v>3338</v>
      </c>
      <c r="E126" s="0" t="s">
        <v>3602</v>
      </c>
      <c r="F126" s="0" t="s">
        <v>3299</v>
      </c>
      <c r="G126" s="0" t="s">
        <v>3603</v>
      </c>
    </row>
    <row customHeight="1" ht="11.25">
      <c r="A127" s="0" t="s">
        <v>16</v>
      </c>
      <c r="B127" s="0" t="s">
        <v>3597</v>
      </c>
      <c r="C127" s="0" t="s">
        <v>3598</v>
      </c>
      <c r="D127" s="0" t="s">
        <v>3604</v>
      </c>
      <c r="E127" s="0" t="s">
        <v>3605</v>
      </c>
      <c r="F127" s="0" t="s">
        <v>3299</v>
      </c>
      <c r="G127" s="0" t="s">
        <v>3606</v>
      </c>
    </row>
    <row customHeight="1" ht="11.25">
      <c r="A128" s="0" t="s">
        <v>16</v>
      </c>
      <c r="B128" s="0" t="s">
        <v>3597</v>
      </c>
      <c r="C128" s="0" t="s">
        <v>3598</v>
      </c>
      <c r="D128" s="0" t="s">
        <v>3607</v>
      </c>
      <c r="E128" s="0" t="s">
        <v>3608</v>
      </c>
      <c r="F128" s="0" t="s">
        <v>3299</v>
      </c>
      <c r="G128" s="0" t="s">
        <v>3609</v>
      </c>
    </row>
    <row customHeight="1" ht="11.25">
      <c r="A129" s="0" t="s">
        <v>16</v>
      </c>
      <c r="B129" s="0" t="s">
        <v>3597</v>
      </c>
      <c r="C129" s="0" t="s">
        <v>3598</v>
      </c>
      <c r="D129" s="0" t="s">
        <v>3610</v>
      </c>
      <c r="E129" s="0" t="s">
        <v>3611</v>
      </c>
      <c r="F129" s="0" t="s">
        <v>3342</v>
      </c>
      <c r="G129" s="0" t="s">
        <v>3612</v>
      </c>
    </row>
    <row customHeight="1" ht="11.25">
      <c r="A130" s="0" t="s">
        <v>16</v>
      </c>
      <c r="B130" s="0" t="s">
        <v>3597</v>
      </c>
      <c r="C130" s="0" t="s">
        <v>3598</v>
      </c>
      <c r="D130" s="0" t="s">
        <v>3613</v>
      </c>
      <c r="E130" s="0" t="s">
        <v>3614</v>
      </c>
      <c r="F130" s="0" t="s">
        <v>3299</v>
      </c>
      <c r="G130" s="0" t="s">
        <v>3615</v>
      </c>
    </row>
    <row customHeight="1" ht="11.25">
      <c r="A131" s="0" t="s">
        <v>16</v>
      </c>
      <c r="B131" s="0" t="s">
        <v>3597</v>
      </c>
      <c r="C131" s="0" t="s">
        <v>3598</v>
      </c>
      <c r="D131" s="0" t="s">
        <v>3616</v>
      </c>
      <c r="E131" s="0" t="s">
        <v>3617</v>
      </c>
      <c r="F131" s="0" t="s">
        <v>3299</v>
      </c>
      <c r="G131" s="0" t="s">
        <v>3618</v>
      </c>
    </row>
    <row customHeight="1" ht="11.25">
      <c r="A132" s="0" t="s">
        <v>16</v>
      </c>
      <c r="B132" s="0" t="s">
        <v>3597</v>
      </c>
      <c r="C132" s="0" t="s">
        <v>3598</v>
      </c>
      <c r="D132" s="0" t="s">
        <v>3619</v>
      </c>
      <c r="E132" s="0" t="s">
        <v>3620</v>
      </c>
      <c r="F132" s="0" t="s">
        <v>3409</v>
      </c>
      <c r="G132" s="0" t="s">
        <v>3621</v>
      </c>
    </row>
    <row customHeight="1" ht="11.25">
      <c r="A133" s="0" t="s">
        <v>16</v>
      </c>
      <c r="B133" s="0" t="s">
        <v>3597</v>
      </c>
      <c r="C133" s="0" t="s">
        <v>3598</v>
      </c>
      <c r="D133" s="0" t="s">
        <v>3622</v>
      </c>
      <c r="E133" s="0" t="s">
        <v>3623</v>
      </c>
      <c r="F133" s="0" t="s">
        <v>3409</v>
      </c>
      <c r="G133" s="0" t="s">
        <v>3624</v>
      </c>
    </row>
    <row customHeight="1" ht="11.25">
      <c r="A134" s="0" t="s">
        <v>16</v>
      </c>
      <c r="B134" s="0" t="s">
        <v>3597</v>
      </c>
      <c r="C134" s="0" t="s">
        <v>3598</v>
      </c>
      <c r="D134" s="0" t="s">
        <v>3625</v>
      </c>
      <c r="E134" s="0" t="s">
        <v>3626</v>
      </c>
      <c r="F134" s="0" t="s">
        <v>3409</v>
      </c>
      <c r="G134" s="0" t="s">
        <v>3627</v>
      </c>
    </row>
    <row customHeight="1" ht="11.25">
      <c r="A135" s="0" t="s">
        <v>16</v>
      </c>
      <c r="B135" s="0" t="s">
        <v>3597</v>
      </c>
      <c r="C135" s="0" t="s">
        <v>3598</v>
      </c>
      <c r="D135" s="0" t="s">
        <v>3597</v>
      </c>
      <c r="E135" s="0" t="s">
        <v>3598</v>
      </c>
      <c r="F135" s="0" t="s">
        <v>3337</v>
      </c>
      <c r="G135" s="0" t="s">
        <v>3628</v>
      </c>
    </row>
    <row customHeight="1" ht="11.25">
      <c r="A136" s="0" t="s">
        <v>16</v>
      </c>
      <c r="B136" s="0" t="s">
        <v>3597</v>
      </c>
      <c r="C136" s="0" t="s">
        <v>3598</v>
      </c>
      <c r="D136" s="0" t="s">
        <v>3629</v>
      </c>
      <c r="E136" s="0" t="s">
        <v>3630</v>
      </c>
      <c r="F136" s="0" t="s">
        <v>3299</v>
      </c>
      <c r="G136" s="0" t="s">
        <v>3631</v>
      </c>
    </row>
    <row customHeight="1" ht="11.25">
      <c r="A137" s="0" t="s">
        <v>16</v>
      </c>
      <c r="B137" s="0" t="s">
        <v>3632</v>
      </c>
      <c r="C137" s="0" t="s">
        <v>3633</v>
      </c>
      <c r="D137" s="0" t="s">
        <v>3632</v>
      </c>
      <c r="E137" s="0" t="s">
        <v>3633</v>
      </c>
      <c r="F137" s="0" t="s">
        <v>3295</v>
      </c>
      <c r="G137" s="0" t="s">
        <v>3634</v>
      </c>
    </row>
    <row customHeight="1" ht="11.25">
      <c r="A138" s="0" t="s">
        <v>16</v>
      </c>
      <c r="B138" s="0" t="s">
        <v>3635</v>
      </c>
      <c r="C138" s="0" t="s">
        <v>3636</v>
      </c>
      <c r="D138" s="0" t="s">
        <v>3635</v>
      </c>
      <c r="E138" s="0" t="s">
        <v>3636</v>
      </c>
      <c r="F138" s="0" t="s">
        <v>3295</v>
      </c>
      <c r="G138" s="0" t="s">
        <v>3637</v>
      </c>
    </row>
    <row customHeight="1" ht="11.25">
      <c r="A139" s="0" t="s">
        <v>16</v>
      </c>
      <c r="B139" s="0" t="s">
        <v>3638</v>
      </c>
      <c r="C139" s="0" t="s">
        <v>3639</v>
      </c>
      <c r="D139" s="0" t="s">
        <v>3638</v>
      </c>
      <c r="E139" s="0" t="s">
        <v>3639</v>
      </c>
      <c r="F139" s="0" t="s">
        <v>3295</v>
      </c>
      <c r="G139" s="0" t="s">
        <v>3640</v>
      </c>
    </row>
    <row customHeight="1" ht="11.25">
      <c r="A140" s="0" t="s">
        <v>16</v>
      </c>
      <c r="B140" s="0" t="s">
        <v>3641</v>
      </c>
      <c r="C140" s="0" t="s">
        <v>3642</v>
      </c>
      <c r="D140" s="0" t="s">
        <v>3641</v>
      </c>
      <c r="E140" s="0" t="s">
        <v>3642</v>
      </c>
      <c r="F140" s="0" t="s">
        <v>3295</v>
      </c>
      <c r="G140" s="0" t="s">
        <v>3643</v>
      </c>
    </row>
    <row customHeight="1" ht="11.25">
      <c r="A141" s="0" t="s">
        <v>16</v>
      </c>
      <c r="B141" s="0" t="s">
        <v>3644</v>
      </c>
      <c r="C141" s="0" t="s">
        <v>3645</v>
      </c>
      <c r="D141" s="0" t="s">
        <v>3644</v>
      </c>
      <c r="E141" s="0" t="s">
        <v>3645</v>
      </c>
      <c r="F141" s="0" t="s">
        <v>3295</v>
      </c>
      <c r="G141" s="0" t="s">
        <v>3646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FA035-E426-B7A9-34D1-B0EA5439EC2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3" t="s">
        <v>3904</v>
      </c>
      <c r="B1" s="843" t="s">
        <v>3905</v>
      </c>
      <c r="C1" s="843" t="s">
        <v>1374</v>
      </c>
    </row>
    <row customHeight="1" ht="11.25">
      <c r="A2" s="843">
        <v>4189678</v>
      </c>
      <c r="B2" s="843" t="s">
        <v>3906</v>
      </c>
      <c r="C2" s="843" t="s">
        <v>3907</v>
      </c>
    </row>
    <row customHeight="1" ht="11.25">
      <c r="A3" s="843">
        <v>4190415</v>
      </c>
      <c r="B3" s="843" t="s">
        <v>3908</v>
      </c>
      <c r="C3" s="843" t="s">
        <v>3907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2B2B7-E42C-76F7-4394-EA3A8EC906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3909</v>
      </c>
      <c r="B1" s="171" t="s">
        <v>3910</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611EF-90F9-7755-B064-E69B2CE843F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3911</v>
      </c>
      <c r="B1" s="0" t="b">
        <v>1</v>
      </c>
    </row>
    <row customHeight="1" ht="11.25">
      <c r="A2" s="0" t="s">
        <v>3912</v>
      </c>
      <c r="B2" s="0" t="b">
        <v>0</v>
      </c>
    </row>
    <row customHeight="1" ht="11.25">
      <c r="A3" s="0" t="s">
        <v>3913</v>
      </c>
      <c r="B3" s="0" t="b">
        <v>1</v>
      </c>
    </row>
    <row customHeight="1" ht="11.25">
      <c r="A4" s="0" t="s">
        <v>3914</v>
      </c>
      <c r="B4" s="0" t="b">
        <v>0</v>
      </c>
    </row>
    <row customHeight="1" ht="11.25">
      <c r="A5" s="0" t="s">
        <v>3915</v>
      </c>
      <c r="B5" s="0" t="b">
        <v>0</v>
      </c>
    </row>
    <row customHeight="1" ht="11.25">
      <c r="A6" s="0" t="s">
        <v>3916</v>
      </c>
      <c r="B6" s="0" t="b">
        <v>0</v>
      </c>
    </row>
    <row customHeight="1" ht="11.25">
      <c r="A7" s="0" t="s">
        <v>3917</v>
      </c>
      <c r="B7" s="0" t="b">
        <v>0</v>
      </c>
    </row>
    <row customHeight="1" ht="11.25">
      <c r="A8" s="0" t="s">
        <v>3918</v>
      </c>
      <c r="B8" s="0" t="b">
        <v>0</v>
      </c>
    </row>
    <row customHeight="1" ht="11.25">
      <c r="A9" s="0" t="s">
        <v>3919</v>
      </c>
      <c r="B9" s="0" t="b">
        <v>0</v>
      </c>
    </row>
    <row customHeight="1" ht="11.25">
      <c r="A10" s="0" t="s">
        <v>3920</v>
      </c>
      <c r="B10" s="0" t="b">
        <v>1</v>
      </c>
    </row>
    <row customHeight="1" ht="11.25">
      <c r="A11" s="0" t="s">
        <v>3921</v>
      </c>
      <c r="B11" s="0" t="b">
        <v>0</v>
      </c>
    </row>
    <row customHeight="1" ht="11.25">
      <c r="A12" s="0" t="s">
        <v>3922</v>
      </c>
      <c r="B12" s="0" t="b">
        <v>0</v>
      </c>
    </row>
    <row customHeight="1" ht="11.25">
      <c r="A13" s="0" t="s">
        <v>3923</v>
      </c>
      <c r="B13" s="0" t="b">
        <v>0</v>
      </c>
    </row>
    <row customHeight="1" ht="11.25">
      <c r="A14" s="0" t="s">
        <v>3924</v>
      </c>
      <c r="B14" s="0" t="b">
        <v>0</v>
      </c>
    </row>
    <row customHeight="1" ht="11.25">
      <c r="A15" s="0" t="s">
        <v>3925</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267ED-AD0E-2443-76E7-C9C6989A157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2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9DE4-E49D-4CEA-8953-4225D16492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5" t="s">
        <v>3926</v>
      </c>
      <c r="B1" s="75" t="s">
        <v>3927</v>
      </c>
    </row>
    <row customHeight="1" ht="11.25">
      <c r="A2" s="72" t="s">
        <v>3928</v>
      </c>
      <c r="B2" s="72" t="s">
        <v>3929</v>
      </c>
    </row>
    <row customHeight="1" ht="11.25">
      <c r="A3" s="72" t="s">
        <v>3930</v>
      </c>
      <c r="B3" s="72" t="s">
        <v>3931</v>
      </c>
    </row>
    <row customHeight="1" ht="11.25">
      <c r="A4" s="72" t="s">
        <v>3932</v>
      </c>
      <c r="B4" s="72" t="s">
        <v>3933</v>
      </c>
    </row>
    <row customHeight="1" ht="11.25">
      <c r="A5" s="72" t="s">
        <v>3934</v>
      </c>
      <c r="B5" s="72" t="s">
        <v>3935</v>
      </c>
    </row>
    <row customHeight="1" ht="11.25">
      <c r="A6" s="72" t="s">
        <v>3936</v>
      </c>
      <c r="B6" s="72" t="s">
        <v>3937</v>
      </c>
    </row>
    <row customHeight="1" ht="11.25">
      <c r="A7" s="72" t="s">
        <v>3938</v>
      </c>
      <c r="B7" s="72" t="s">
        <v>3939</v>
      </c>
    </row>
    <row customHeight="1" ht="11.25">
      <c r="A8" s="72" t="s">
        <v>3940</v>
      </c>
      <c r="B8" s="72" t="s">
        <v>3941</v>
      </c>
    </row>
    <row customHeight="1" ht="11.25">
      <c r="A9" s="72" t="s">
        <v>3942</v>
      </c>
      <c r="B9" s="72" t="s">
        <v>3943</v>
      </c>
    </row>
    <row customHeight="1" ht="11.25">
      <c r="A10" s="72" t="s">
        <v>3944</v>
      </c>
      <c r="B10" s="72" t="s">
        <v>3945</v>
      </c>
    </row>
    <row customHeight="1" ht="11.25">
      <c r="A11" s="72" t="s">
        <v>3946</v>
      </c>
      <c r="B11" s="72" t="s">
        <v>3947</v>
      </c>
    </row>
    <row customHeight="1" ht="11.25">
      <c r="A12" s="72" t="s">
        <v>3948</v>
      </c>
      <c r="B12" s="72" t="s">
        <v>3949</v>
      </c>
    </row>
    <row customHeight="1" ht="11.25">
      <c r="A13" s="72" t="s">
        <v>3950</v>
      </c>
      <c r="B13" s="72" t="s">
        <v>3951</v>
      </c>
    </row>
    <row customHeight="1" ht="11.25">
      <c r="A14" s="72" t="s">
        <v>3952</v>
      </c>
      <c r="B14" s="72" t="s">
        <v>3953</v>
      </c>
    </row>
    <row customHeight="1" ht="11.25">
      <c r="A15" s="72" t="s">
        <v>3954</v>
      </c>
      <c r="B15" s="72" t="s">
        <v>3955</v>
      </c>
    </row>
    <row customHeight="1" ht="11.25">
      <c r="A16" s="72" t="s">
        <v>3956</v>
      </c>
      <c r="B16" s="72" t="s">
        <v>3957</v>
      </c>
    </row>
    <row customHeight="1" ht="11.25">
      <c r="A17" s="72" t="s">
        <v>3958</v>
      </c>
      <c r="B17" s="72" t="s">
        <v>3959</v>
      </c>
    </row>
    <row customHeight="1" ht="11.25">
      <c r="A18" s="72" t="s">
        <v>3960</v>
      </c>
      <c r="B18" s="72" t="s">
        <v>3961</v>
      </c>
    </row>
    <row customHeight="1" ht="11.25">
      <c r="A19" s="72" t="s">
        <v>3962</v>
      </c>
      <c r="B19" s="72" t="s">
        <v>3963</v>
      </c>
    </row>
    <row customHeight="1" ht="11.25">
      <c r="A20" s="72" t="s">
        <v>3964</v>
      </c>
      <c r="B20" s="72" t="s">
        <v>3965</v>
      </c>
    </row>
    <row customHeight="1" ht="11.25">
      <c r="A21" s="72" t="s">
        <v>3966</v>
      </c>
      <c r="B21" s="72" t="s">
        <v>3967</v>
      </c>
    </row>
    <row customHeight="1" ht="11.25">
      <c r="A22" s="72" t="s">
        <v>3968</v>
      </c>
      <c r="B22" s="72" t="s">
        <v>3969</v>
      </c>
    </row>
    <row customHeight="1" ht="11.25">
      <c r="A23" s="72" t="s">
        <v>3970</v>
      </c>
      <c r="B23" s="72" t="s">
        <v>3971</v>
      </c>
    </row>
    <row customHeight="1" ht="11.25">
      <c r="A24" s="72" t="s">
        <v>3972</v>
      </c>
      <c r="B24" s="72" t="s">
        <v>3973</v>
      </c>
    </row>
    <row customHeight="1" ht="11.25">
      <c r="A25" s="72" t="s">
        <v>3974</v>
      </c>
      <c r="B25" s="72" t="s">
        <v>3975</v>
      </c>
    </row>
    <row customHeight="1" ht="11.25">
      <c r="A26" s="72" t="s">
        <v>3976</v>
      </c>
      <c r="B26" s="72" t="s">
        <v>3977</v>
      </c>
    </row>
    <row customHeight="1" ht="11.25">
      <c r="A27" s="72" t="s">
        <v>3978</v>
      </c>
      <c r="B27" s="72" t="s">
        <v>3979</v>
      </c>
    </row>
    <row customHeight="1" ht="11.25">
      <c r="A28" s="72" t="s">
        <v>3980</v>
      </c>
      <c r="B28" s="72" t="s">
        <v>3981</v>
      </c>
    </row>
    <row customHeight="1" ht="11.25">
      <c r="A29" s="72" t="s">
        <v>3982</v>
      </c>
      <c r="B29" s="72" t="s">
        <v>3983</v>
      </c>
    </row>
    <row customHeight="1" ht="11.25">
      <c r="A30" s="72" t="s">
        <v>3984</v>
      </c>
      <c r="B30" s="72" t="s">
        <v>3985</v>
      </c>
    </row>
    <row customHeight="1" ht="11.25">
      <c r="A31" s="72" t="s">
        <v>3986</v>
      </c>
      <c r="B31" s="72" t="s">
        <v>3987</v>
      </c>
    </row>
    <row customHeight="1" ht="11.25">
      <c r="A32" s="72" t="s">
        <v>3988</v>
      </c>
      <c r="B32" s="72" t="s">
        <v>3989</v>
      </c>
    </row>
    <row customHeight="1" ht="11.25">
      <c r="A33" s="72" t="s">
        <v>3990</v>
      </c>
      <c r="B33" s="72" t="s">
        <v>3991</v>
      </c>
    </row>
    <row customHeight="1" ht="11.25">
      <c r="A34" s="72" t="s">
        <v>3992</v>
      </c>
      <c r="B34" s="72" t="s">
        <v>3993</v>
      </c>
    </row>
    <row customHeight="1" ht="11.25">
      <c r="A35" s="72" t="s">
        <v>3994</v>
      </c>
      <c r="B35" s="72" t="s">
        <v>3995</v>
      </c>
    </row>
    <row customHeight="1" ht="11.25">
      <c r="A36" s="72" t="s">
        <v>3996</v>
      </c>
      <c r="B36" s="72" t="s">
        <v>3997</v>
      </c>
    </row>
    <row customHeight="1" ht="11.25">
      <c r="A37" s="72" t="s">
        <v>3998</v>
      </c>
      <c r="B37" s="72" t="s">
        <v>3999</v>
      </c>
    </row>
    <row customHeight="1" ht="11.25">
      <c r="A38" s="72" t="s">
        <v>4000</v>
      </c>
      <c r="B38" s="72" t="s">
        <v>4001</v>
      </c>
    </row>
    <row customHeight="1" ht="11.25">
      <c r="A39" s="72" t="s">
        <v>4002</v>
      </c>
      <c r="B39" s="72" t="s">
        <v>4003</v>
      </c>
    </row>
    <row customHeight="1" ht="11.25">
      <c r="A40" s="72" t="s">
        <v>4004</v>
      </c>
      <c r="B40" s="72" t="s">
        <v>4005</v>
      </c>
    </row>
    <row customHeight="1" ht="11.25">
      <c r="A41" s="72" t="s">
        <v>4006</v>
      </c>
      <c r="B41" s="72" t="s">
        <v>4007</v>
      </c>
    </row>
    <row customHeight="1" ht="11.25">
      <c r="A42" s="72" t="s">
        <v>4008</v>
      </c>
      <c r="B42" s="72" t="s">
        <v>4009</v>
      </c>
    </row>
    <row customHeight="1" ht="11.25">
      <c r="A43" s="72" t="s">
        <v>4010</v>
      </c>
      <c r="B43" s="72" t="s">
        <v>4011</v>
      </c>
    </row>
    <row customHeight="1" ht="11.25">
      <c r="A44" s="72" t="s">
        <v>4012</v>
      </c>
      <c r="B44" s="72" t="s">
        <v>4013</v>
      </c>
    </row>
    <row customHeight="1" ht="11.25">
      <c r="A45" s="72" t="s">
        <v>4014</v>
      </c>
      <c r="B45" s="72" t="s">
        <v>4015</v>
      </c>
    </row>
    <row customHeight="1" ht="11.25">
      <c r="A46" s="72" t="s">
        <v>4016</v>
      </c>
      <c r="B46" s="72" t="s">
        <v>4017</v>
      </c>
    </row>
    <row customHeight="1" ht="11.25">
      <c r="A47" s="72" t="s">
        <v>4018</v>
      </c>
      <c r="B47" s="72" t="s">
        <v>4019</v>
      </c>
    </row>
    <row customHeight="1" ht="11.25">
      <c r="A48" s="72" t="s">
        <v>4020</v>
      </c>
      <c r="B48" s="72" t="s">
        <v>4021</v>
      </c>
    </row>
    <row customHeight="1" ht="11.25">
      <c r="A49" s="72" t="s">
        <v>4022</v>
      </c>
      <c r="B49" s="72" t="s">
        <v>4023</v>
      </c>
    </row>
    <row customHeight="1" ht="11.25">
      <c r="A50" s="72" t="s">
        <v>4024</v>
      </c>
      <c r="B50" s="72" t="s">
        <v>4025</v>
      </c>
    </row>
    <row customHeight="1" ht="11.25">
      <c r="A51" s="72" t="s">
        <v>4026</v>
      </c>
      <c r="B51" s="72" t="s">
        <v>4027</v>
      </c>
    </row>
    <row customHeight="1" ht="11.25">
      <c r="A52" s="72" t="s">
        <v>4028</v>
      </c>
      <c r="B52" s="72" t="s">
        <v>4029</v>
      </c>
    </row>
    <row customHeight="1" ht="11.25">
      <c r="A53" s="72" t="s">
        <v>4030</v>
      </c>
      <c r="B53" s="72" t="s">
        <v>4031</v>
      </c>
    </row>
    <row customHeight="1" ht="11.25">
      <c r="A54" s="72" t="s">
        <v>4032</v>
      </c>
      <c r="B54" s="72" t="s">
        <v>4033</v>
      </c>
    </row>
    <row customHeight="1" ht="11.25">
      <c r="A55" s="72" t="s">
        <v>4034</v>
      </c>
      <c r="B55" s="72" t="s">
        <v>4035</v>
      </c>
    </row>
    <row customHeight="1" ht="11.25">
      <c r="A56" s="72" t="s">
        <v>4036</v>
      </c>
      <c r="B56" s="72" t="s">
        <v>4037</v>
      </c>
    </row>
    <row customHeight="1" ht="11.25">
      <c r="A57" s="72" t="s">
        <v>4038</v>
      </c>
      <c r="B57" s="72" t="s">
        <v>4039</v>
      </c>
    </row>
    <row customHeight="1" ht="11.25">
      <c r="A58" s="72" t="s">
        <v>4040</v>
      </c>
      <c r="B58" s="72" t="s">
        <v>4041</v>
      </c>
    </row>
    <row customHeight="1" ht="11.25">
      <c r="A59" s="72" t="s">
        <v>4042</v>
      </c>
      <c r="B59" s="72" t="s">
        <v>4043</v>
      </c>
    </row>
    <row customHeight="1" ht="11.25">
      <c r="A60" s="72" t="s">
        <v>4044</v>
      </c>
      <c r="B60" s="72" t="s">
        <v>4045</v>
      </c>
    </row>
    <row customHeight="1" ht="11.25">
      <c r="A61" s="72"/>
      <c r="B61" s="72" t="s">
        <v>4046</v>
      </c>
    </row>
    <row customHeight="1" ht="11.25">
      <c r="A62" s="72"/>
      <c r="B62" s="72" t="s">
        <v>4047</v>
      </c>
    </row>
    <row customHeight="1" ht="11.25">
      <c r="A63" s="72"/>
      <c r="B63" s="72" t="s">
        <v>4048</v>
      </c>
    </row>
    <row customHeight="1" ht="11.25">
      <c r="A64" s="72"/>
      <c r="B64" s="72" t="s">
        <v>4049</v>
      </c>
    </row>
    <row customHeight="1" ht="11.25">
      <c r="A65" s="72"/>
      <c r="B65" s="72" t="s">
        <v>4050</v>
      </c>
    </row>
    <row customHeight="1" ht="11.25">
      <c r="A66" s="72"/>
      <c r="B66" s="72" t="s">
        <v>4051</v>
      </c>
    </row>
    <row customHeight="1" ht="11.25">
      <c r="A67" s="72"/>
      <c r="B67" s="72" t="s">
        <v>4052</v>
      </c>
    </row>
    <row customHeight="1" ht="11.25">
      <c r="A68" s="72"/>
      <c r="B68" s="72" t="s">
        <v>4053</v>
      </c>
    </row>
    <row customHeight="1" ht="11.25">
      <c r="A69" s="72"/>
      <c r="B69" s="72" t="s">
        <v>4054</v>
      </c>
    </row>
    <row customHeight="1" ht="11.25">
      <c r="A70" s="72"/>
      <c r="B70" s="72" t="s">
        <v>4055</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90C61-2F01-F3CE-D0F9-A5D91770BE3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101" t="s">
        <v>4056</v>
      </c>
    </row>
    <row customHeight="1" ht="90">
      <c r="B2" s="102" t="s">
        <v>4057</v>
      </c>
    </row>
    <row customHeight="1" ht="67.5">
      <c r="B3" s="102" t="s">
        <v>4058</v>
      </c>
    </row>
    <row customHeight="1" ht="33.75">
      <c r="B4" s="102" t="s">
        <v>4059</v>
      </c>
    </row>
    <row customHeight="1" ht="11.25">
      <c r="B5" s="102" t="s">
        <v>4060</v>
      </c>
    </row>
    <row customHeight="1" ht="22.5">
      <c r="B6" s="102" t="s">
        <v>4061</v>
      </c>
    </row>
    <row customHeight="1" ht="22.5">
      <c r="B7" s="102" t="s">
        <v>4062</v>
      </c>
    </row>
    <row customHeight="1" ht="22.5">
      <c r="B8" s="102" t="s">
        <v>4063</v>
      </c>
    </row>
    <row customHeight="1" ht="22.5">
      <c r="B9" s="102" t="s">
        <v>4064</v>
      </c>
    </row>
    <row customHeight="1" ht="56.25">
      <c r="B10" s="102" t="s">
        <v>4065</v>
      </c>
    </row>
    <row customHeight="1" ht="12.75">
      <c r="B11" s="167" t="s">
        <v>4066</v>
      </c>
    </row>
    <row customHeight="1" ht="11.25">
      <c r="B12" s="101" t="s">
        <v>4067</v>
      </c>
    </row>
    <row customHeight="1" ht="22.5">
      <c r="B13" s="102" t="s">
        <v>4068</v>
      </c>
    </row>
    <row customHeight="1" ht="67.5">
      <c r="B14" s="102" t="s">
        <v>4069</v>
      </c>
    </row>
    <row customHeight="1" ht="22.5">
      <c r="B15" s="102" t="s">
        <v>4070</v>
      </c>
    </row>
    <row customHeight="1" ht="11.25">
      <c r="B16" s="101" t="s">
        <v>4071</v>
      </c>
      <c r="D16" s="108"/>
    </row>
    <row customHeight="1" ht="33.75">
      <c r="B17" s="102" t="s">
        <v>4072</v>
      </c>
    </row>
    <row customHeight="1" ht="33.75">
      <c r="B18" s="102" t="s">
        <v>4073</v>
      </c>
    </row>
    <row customHeight="1" ht="11.25">
      <c r="B19" s="102" t="s">
        <v>4074</v>
      </c>
    </row>
    <row customHeight="1" ht="33.75">
      <c r="B20" s="102" t="s">
        <v>4075</v>
      </c>
    </row>
    <row customHeight="1" ht="11.25">
      <c r="B21" s="101" t="s">
        <v>4076</v>
      </c>
    </row>
    <row customHeight="1" ht="11.25">
      <c r="B22" s="102" t="s">
        <v>4077</v>
      </c>
    </row>
    <row r="24" customHeight="1" ht="22.5">
      <c r="B24" s="169" t="s">
        <v>4078</v>
      </c>
    </row>
    <row r="26" customHeight="1" ht="11.25">
      <c r="B26" s="101" t="s">
        <v>4079</v>
      </c>
    </row>
    <row customHeight="1" ht="22.5">
      <c r="B27" s="168" t="s">
        <v>413</v>
      </c>
    </row>
    <row customHeight="1" ht="56.25">
      <c r="B28" s="168" t="s">
        <v>4080</v>
      </c>
    </row>
    <row customHeight="1" ht="11.25">
      <c r="B29" s="218" t="s">
        <v>4081</v>
      </c>
    </row>
    <row customHeight="1" ht="22.5">
      <c r="B30" s="168" t="s">
        <v>4082</v>
      </c>
    </row>
    <row r="32" customHeight="1" ht="11.25">
      <c r="A32" s="196"/>
      <c r="B32" s="197" t="s">
        <v>4083</v>
      </c>
    </row>
    <row customHeight="1" ht="14.25">
      <c r="A33" s="198">
        <v>1</v>
      </c>
      <c r="B33" s="199" t="s">
        <v>4084</v>
      </c>
    </row>
    <row customHeight="1" ht="14.25">
      <c r="A34" s="198">
        <v>2</v>
      </c>
      <c r="B34" s="199" t="s">
        <v>4085</v>
      </c>
    </row>
    <row customHeight="1" ht="11.25">
      <c r="B35" s="197" t="s">
        <v>4086</v>
      </c>
    </row>
    <row customHeight="1" ht="11.25">
      <c r="B36" s="199" t="s">
        <v>4087</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4684F-A99D-B0DE-AD2F-CA0C9F2AE83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47"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6"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38" t="s">
        <v>369</v>
      </c>
      <c r="I1" s="2238"/>
      <c r="V1" s="1615" t="s">
        <v>14</v>
      </c>
    </row>
    <row s="1643" customFormat="1" customHeight="1" ht="14.25" hidden="1">
      <c r="C2" s="1627"/>
      <c r="D2" s="2254" t="s">
        <v>118</v>
      </c>
      <c r="E2" s="2256"/>
      <c r="F2" s="1633"/>
      <c r="G2" s="1628" t="s">
        <v>118</v>
      </c>
      <c r="H2" s="1631"/>
      <c r="I2" s="1629"/>
      <c r="L2" s="1630"/>
      <c r="M2" s="1630"/>
      <c r="N2" s="1630"/>
      <c r="O2" s="1630" t="s">
        <v>399</v>
      </c>
      <c r="P2" s="1630"/>
      <c r="Q2" s="1630"/>
      <c r="R2" s="1632" t="s">
        <v>398</v>
      </c>
      <c r="S2" s="1632" t="s">
        <v>398</v>
      </c>
      <c r="T2" s="1630"/>
      <c r="U2" s="1630"/>
      <c r="V2" s="1626">
        <v>0</v>
      </c>
    </row>
    <row s="1643" customFormat="1" customHeight="1" ht="14.25" hidden="1">
      <c r="C3" s="1627"/>
      <c r="D3" s="2255"/>
      <c r="E3" s="2257"/>
      <c r="F3" s="413"/>
      <c r="G3" s="877"/>
      <c r="H3" s="877" t="s">
        <v>400</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373</v>
      </c>
      <c r="I5" s="710"/>
      <c r="J5" s="710"/>
      <c r="L5" s="1622"/>
      <c r="M5" s="1622"/>
      <c r="N5" s="1622"/>
      <c r="O5" s="1622"/>
      <c r="P5" s="1622"/>
      <c r="Q5" s="1622"/>
      <c r="R5" s="1622"/>
      <c r="S5" s="1622"/>
      <c r="T5" s="1622"/>
      <c r="U5" s="1622"/>
      <c r="V5" s="1621">
        <v>5</v>
      </c>
    </row>
    <row customHeight="1" ht="29.25">
      <c r="C6" s="1524"/>
      <c r="D6" s="2258" t="s">
        <v>401</v>
      </c>
      <c r="E6" s="2258"/>
      <c r="F6" s="2258"/>
      <c r="G6" s="2258"/>
      <c r="H6" s="2258"/>
      <c r="I6" s="2258"/>
      <c r="J6" s="499"/>
      <c r="K6" s="1623"/>
      <c r="V6" s="1615">
        <v>28</v>
      </c>
    </row>
    <row customHeight="1" ht="18">
      <c r="C7" s="1524"/>
      <c r="D7" s="2197" t="str">
        <f>IF(org=0,"Не определено",org)</f>
        <v>АО "ДГК"</v>
      </c>
      <c r="E7" s="2197"/>
      <c r="F7" s="2197"/>
      <c r="G7" s="2197"/>
      <c r="H7" s="2197"/>
      <c r="I7" s="2197"/>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39" t="s">
        <v>317</v>
      </c>
      <c r="E10" s="2240"/>
      <c r="F10" s="2240"/>
      <c r="G10" s="2240"/>
      <c r="H10" s="2240"/>
      <c r="I10" s="2240"/>
      <c r="J10" s="2244" t="s">
        <v>318</v>
      </c>
      <c r="V10" s="1615">
        <v>14</v>
      </c>
    </row>
    <row customHeight="1" ht="27.299999999999997">
      <c r="C11" s="1524"/>
      <c r="D11" s="2148" t="s">
        <v>88</v>
      </c>
      <c r="E11" s="2244" t="s">
        <v>114</v>
      </c>
      <c r="F11" s="2213" t="s">
        <v>88</v>
      </c>
      <c r="G11" s="2214"/>
      <c r="H11" s="2196" t="s">
        <v>402</v>
      </c>
      <c r="I11" s="2196" t="s">
        <v>403</v>
      </c>
      <c r="J11" s="2244"/>
      <c r="V11" s="1615">
        <v>26</v>
      </c>
    </row>
    <row customHeight="1" ht="14.699999999999998">
      <c r="C12" s="1524"/>
      <c r="D12" s="2148"/>
      <c r="E12" s="2244"/>
      <c r="F12" s="2221"/>
      <c r="G12" s="2222"/>
      <c r="H12" s="2253"/>
      <c r="I12" s="2253"/>
      <c r="J12" s="2244"/>
      <c r="V12" s="1615">
        <v>14</v>
      </c>
    </row>
    <row s="1649" customFormat="1" customHeight="1" ht="11.25" hidden="1">
      <c r="C13" s="506"/>
      <c r="D13" s="507" t="s">
        <v>393</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54" t="s">
        <v>118</v>
      </c>
      <c r="E14" s="2256"/>
      <c r="F14" s="1625"/>
      <c r="G14" s="1624" t="s">
        <v>118</v>
      </c>
      <c r="H14" s="1631"/>
      <c r="I14" s="1629"/>
      <c r="J14" s="2190" t="s">
        <v>404</v>
      </c>
      <c r="K14" s="1615"/>
      <c r="R14" s="508" t="s">
        <v>398</v>
      </c>
      <c r="S14" s="508" t="s">
        <v>398</v>
      </c>
      <c r="V14" s="1615">
        <v>14</v>
      </c>
    </row>
    <row customHeight="1" ht="14.699999999999998">
      <c r="A15" s="1615"/>
      <c r="C15" s="1524"/>
      <c r="D15" s="2255"/>
      <c r="E15" s="2257"/>
      <c r="F15" s="413"/>
      <c r="G15" s="877"/>
      <c r="H15" s="877" t="s">
        <v>400</v>
      </c>
      <c r="I15" s="321"/>
      <c r="J15" s="2191"/>
      <c r="K15" s="1615"/>
      <c r="R15" s="508"/>
      <c r="S15" s="508"/>
      <c r="V15" s="1615">
        <v>14</v>
      </c>
    </row>
    <row customHeight="1" ht="14.699999999999998">
      <c r="A16" s="1615"/>
      <c r="C16" s="1524"/>
      <c r="D16" s="413"/>
      <c r="E16" s="877" t="s">
        <v>140</v>
      </c>
      <c r="F16" s="321"/>
      <c r="G16" s="321"/>
      <c r="H16" s="414"/>
      <c r="I16" s="414"/>
      <c r="J16" s="2192"/>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