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definedNames>
    <definedName name="_xlnm._FilterDatabase" localSheetId="0" hidden="1">'1'!$B$9:$H$288</definedName>
    <definedName name="Print_Titles" localSheetId="0">'1'!$5:$9</definedName>
    <definedName name="_xlnm.Print_Area" localSheetId="0">'1'!$A$1:$H$288</definedName>
    <definedName name="_xlnm._FilterDatabase" localSheetId="0" hidden="1">'1'!$B$9:$H$288</definedName>
  </definedNames>
  <calcPr/>
</workbook>
</file>

<file path=xl/sharedStrings.xml><?xml version="1.0" encoding="utf-8"?>
<sst xmlns="http://schemas.openxmlformats.org/spreadsheetml/2006/main" count="270" uniqueCount="270">
  <si>
    <t xml:space="preserve">Информация об инвестиционных программах производителей электрической энергии за 2024 год</t>
  </si>
  <si>
    <t xml:space="preserve">АО "ДГК" г.Хабаровск, ул.Фрунзе, 49.  ИНН 1434031363. Адрес электронной почты: dgk@dgk.ru</t>
  </si>
  <si>
    <t xml:space="preserve">Наименование инвестиционной программы, сроки начала и окончания реализации инвестиционной программы</t>
  </si>
  <si>
    <t xml:space="preserve">Дата утверждения инвестиционной программы</t>
  </si>
  <si>
    <t xml:space="preserve">Цели инвестиционной программы</t>
  </si>
  <si>
    <t xml:space="preserve">Наименование органа исполнительной власти, утвердившего инвестиционную программу</t>
  </si>
  <si>
    <t xml:space="preserve">Информация об использовании инвестиционных средств за 2024 год</t>
  </si>
  <si>
    <t xml:space="preserve">Наименование мероприятия</t>
  </si>
  <si>
    <t xml:space="preserve">Сведения об использовании инвестиционных средств за отчетный 2024 год (тыс.руб.) в части производства электрической энергии из комбинир выработка (финансирование без НДС).</t>
  </si>
  <si>
    <t xml:space="preserve">Источник финансирования инвестиционной программы</t>
  </si>
  <si>
    <t xml:space="preserve">Всего по АО "ДГК"</t>
  </si>
  <si>
    <t xml:space="preserve">собственные и заемные средства</t>
  </si>
  <si>
    <t xml:space="preserve">Хабаровский край</t>
  </si>
  <si>
    <t xml:space="preserve">Об утверждении инвестиционной программы АО "ДГК" на 2024-2029 годы, и изменений, вносимых в инвестиционную программу АО "ДГК", утвержденную приказом Минэнерго России от 28.12.2023 №38@</t>
  </si>
  <si>
    <t xml:space="preserve">Приказ 39@ от 23.12.2024 г.</t>
  </si>
  <si>
    <t xml:space="preserve"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3. Разработка и внедрение научно-исследовательских и опытно-конструкторских разработок.</t>
  </si>
  <si>
    <t xml:space="preserve">Минэнерго России</t>
  </si>
  <si>
    <t xml:space="preserve">ХТЭЦ-1, в т.ч.:</t>
  </si>
  <si>
    <t xml:space="preserve">Устройство двух линейных ячеек  № 16 и 17 в ЗРУ 110 кВ Хабаровской ТЭЦ-1</t>
  </si>
  <si>
    <t>Амортизация</t>
  </si>
  <si>
    <t xml:space="preserve">Реконструкция Градирня №2 СП Хабаровская ТЭЦ-1 </t>
  </si>
  <si>
    <t xml:space="preserve">Займ РусГидро</t>
  </si>
  <si>
    <t xml:space="preserve">Наращивание дамб буферного золоотвала и дополнительной секции. Хабаровский район с. Ильинка Хабаровская ТЭЦ-1  (от отм. 104 до отм. 109)</t>
  </si>
  <si>
    <t xml:space="preserve">Реконструкция нефтеловушки для обеспечения очистки сточных вод СП "Хабаровская ТЭЦ-1"</t>
  </si>
  <si>
    <t xml:space="preserve">Модернизация системы пожарной сигнализации и управления автоматическим пожаротушением «ПОСЕЙДОН» СП «Хабаровская ТЭЦ-1»</t>
  </si>
  <si>
    <t xml:space="preserve">Замена силового трансфрматора отпайки ТО-7 тип ТДНС-16000/35 Хабаровской ТЭЦ-1</t>
  </si>
  <si>
    <t xml:space="preserve">Установка блочной электролизной установки Хабаровской ТЭЦ-1 производительностью 0,5/4 Нкуб/ч (1 шт.)</t>
  </si>
  <si>
    <t xml:space="preserve">Реконструкция Автоматической установки водяного пожаротушения галереи топливоподачи Хабаровской ТЭЦ-1 протяженностью 1100 м.</t>
  </si>
  <si>
    <t xml:space="preserve">Модернизация водовода подпитки Хабаровской ТЭЦ-1 (от ул. Юности до пер. Трамвайного), на протяженности 3000м - Ø 600 мм, с применением ОДК и технологии ППУИ </t>
  </si>
  <si>
    <t xml:space="preserve">Техперевооружение комплекса инженерно-технических средств физической защиты СП "Хабаровской ТЭЦ-1"</t>
  </si>
  <si>
    <t xml:space="preserve">Строительство помещения хлораторной установки СП Хабаровская ТЭЦ-1</t>
  </si>
  <si>
    <t xml:space="preserve">Строительство очистных сооружений нефтесодержащих и дождевых сточных вод, производительностью 600 м3/час на Хабаровской ТЭЦ-1</t>
  </si>
  <si>
    <t xml:space="preserve">Разработка ПИР для реконструкции фекальной наружной канализации Хабаровской ТЭЦ-1 с установкой канализационных колодцев ПВХ в количестве 24 шт. и прокладкой трубопроводов ПВХ диаметром 200 мм общей протяженностью 520 м.</t>
  </si>
  <si>
    <t xml:space="preserve">Покупка оборудования не входящего в сметы СП ХТЭЦ-1</t>
  </si>
  <si>
    <t xml:space="preserve">Приобретение объектов нематериальных активов СП ХТЭЦ-1</t>
  </si>
  <si>
    <t xml:space="preserve">Выручка по себестоимости</t>
  </si>
  <si>
    <t xml:space="preserve">ХТЭЦ-3, в т.ч.:</t>
  </si>
  <si>
    <t xml:space="preserve">Реконструкция градирни ст. №3 Хабаровской ТЭЦ-3</t>
  </si>
  <si>
    <t xml:space="preserve">Реконструкция электрофильтров Хабаровской ТЭЦ-3</t>
  </si>
  <si>
    <t xml:space="preserve">Наращивание золоотвала №2 (1 очередь) Хабаровской ТЭЦ-3 на 1800 тыс. м3</t>
  </si>
  <si>
    <t xml:space="preserve">Замена силового трансформатора РТСР-1 на ХТЭЦ-3</t>
  </si>
  <si>
    <t xml:space="preserve">Техперевооружение Хабаровской ТЭЦ-3 с переводом на сжигание природного газа пиковой котельной (ПВК), 3 шт.</t>
  </si>
  <si>
    <t xml:space="preserve">Техническое перевооружение Мостового крана ст. № 2 КО рег. № 3062 (1 шт), СП "Хабаровская ТЭЦ-3"</t>
  </si>
  <si>
    <t xml:space="preserve">Техперевооружение комплекса инженерно-технических средств физической защиты СП "Хабаровской ТЭЦ-3" </t>
  </si>
  <si>
    <t xml:space="preserve">Замена циркуляционного насоса 96 ДПВ-4,5/23 (ЦН-1, ЦН-2, ЦН-3) с вращающейся сеткой для СП «Хабаровская ТЭЦ-3</t>
  </si>
  <si>
    <t xml:space="preserve">Техническое перевооружение Мостового крана ст. № 1 КО рег. № 3061 (1 шт), СП "Хабаровская ТЭЦ-3"</t>
  </si>
  <si>
    <t xml:space="preserve">Техническое перевооружение насосного оборудования СП "Хабаровская ТЭЦ-3"</t>
  </si>
  <si>
    <t xml:space="preserve">Модернизация системы частотного регулирования питателей сырого угля (1 система) Котла ТПЕ-215 ст. № 1, СП "Хабаровская ТЭЦ-3"</t>
  </si>
  <si>
    <t xml:space="preserve">Модернизация системы автоматического регулирования Турбины Т-180/210-130 ст. № 1,2,3 с заменой гидромеханической системы на электромеханическую с заменой регулирующих клапанов и сервомоторов, СП "Хабаровская ТЭЦ-3"</t>
  </si>
  <si>
    <t xml:space="preserve">Техническое перевооружение пожарного трубопровода с заменой подземного участка Ø159 (1101 п.м.) на полиэтиленовую трубу, СП ХТЭЦ-3</t>
  </si>
  <si>
    <t xml:space="preserve">Модернизация охранно пожарной сигнализации и системы освещения здания циркуляционной насосной и здания автотранспортного цеха (2 системы), СП "Хабаровская ТЭЦ-3"</t>
  </si>
  <si>
    <t xml:space="preserve">Модернизация комплекта оборудования механических величин для выполнения защиты "Повышение виброскорости корпусов подшипников турбины". (Вибробит 300)</t>
  </si>
  <si>
    <t xml:space="preserve">Установка автоматизированной системы учета выбросов звгрязняющих веществ в атмосферу на дымовой трубе СП Хабаровская ТЭЦ-3</t>
  </si>
  <si>
    <t xml:space="preserve">Техперевооружение системы управления информационной безопасности, СП Хабаровская ТЭЦ-3</t>
  </si>
  <si>
    <t xml:space="preserve">Замена трансформатора ТДЦ-250000/220-УХЛ1 на ХТЭЦ-3</t>
  </si>
  <si>
    <t xml:space="preserve">Возмещение по страх.случаю</t>
  </si>
  <si>
    <t xml:space="preserve">Техническое перевооружение Хабаровской ТЭЦ-3 с переводом на сжигание природного газа энергоблоков ст. № 2, СП Хабаровская ТЭЦ-3</t>
  </si>
  <si>
    <t xml:space="preserve">Модернизация основного и вспомогательного оборудования энергоблока ст.№2 Хабаровской ТЭЦ-3</t>
  </si>
  <si>
    <t xml:space="preserve">Замена насоса на модернизированный КСВ-320-160-2 (ЭБ, Турбина Т-180/210-130) для СП «Хабаровская ТЭЦ-3</t>
  </si>
  <si>
    <t xml:space="preserve">Строительство 2 пускового комплекса золоотвала №2 Хабаровской ТЭЦ-3 (ёмкость - 2250 тыс. м3)</t>
  </si>
  <si>
    <t xml:space="preserve">Строительство градирни ст.№4 с циркуляционной насосной станцией для Хабаровской ТЭЦ-3</t>
  </si>
  <si>
    <t xml:space="preserve">Строительство береговой насосной Хабаровской ТЭЦ-3 с внедрением инновационных конструкций водозаборных оголовков, 0,5 км.</t>
  </si>
  <si>
    <t xml:space="preserve">Разработка и внедрение инновационной системы управления электрофильтрами типа ЭГА-2-56-12-6-4 СП "Хабаровская ТЭЦ-3" с целью повышения эффективности очистки уходящих газов и минимизации расходов электроэнергии на собственные нужды ТЭЦ.</t>
  </si>
  <si>
    <t xml:space="preserve">Разработка ПИР на модернизацию системы управления энергоблока ст. № 4 с заменой импортного програмного обеспечения и элементной базы на российское (1 система), СП "Хабаровская ТЭЦ-3"</t>
  </si>
  <si>
    <t xml:space="preserve">Разработка ПИР для строительства водовода технической воды № 3 от береговой насосной станции для нужд структурного подразделения «Хабаровская ТЭЦ-3</t>
  </si>
  <si>
    <t xml:space="preserve">Разработка ПИР для реализации проекта «Реконструкция вагоноопрокидывателей ВРС-125Ц (А) и ВРС 134 (Б) Хабаровской ТЭЦ-3»</t>
  </si>
  <si>
    <t xml:space="preserve">Разработка ПИР для реализации проекта «Модернизация электрофильтров котлоагрегата ст. № 3 с заменой электрической и механической части Хабаровской ТЭЦ-3»</t>
  </si>
  <si>
    <t xml:space="preserve">Покупка оборудования не входящего в сметы СП ХТЭЦ-3</t>
  </si>
  <si>
    <t xml:space="preserve">Средства от реализации активов</t>
  </si>
  <si>
    <t xml:space="preserve">Приобретение объектов нематериальных активов СП ХТЭЦ-3</t>
  </si>
  <si>
    <t xml:space="preserve">Выкуп оборудования РЗА ,СП Хабаровская ТЭЦ-3</t>
  </si>
  <si>
    <t xml:space="preserve">КТЭЦ-2, в т.ч.:</t>
  </si>
  <si>
    <t xml:space="preserve">Реконструкция системы сброса сточных вод золоотвала Комсомольской ТЭЦ-2</t>
  </si>
  <si>
    <t xml:space="preserve">Модернизация кондиционера на ГЩУ на Комсомольской ТЭЦ-2</t>
  </si>
  <si>
    <t xml:space="preserve">Техперевооружение комплекса инженерно-технических средств физической защиты СП "Комсомольская ТЭЦ-2"</t>
  </si>
  <si>
    <t xml:space="preserve">Модернизация автоматизированной информационно- измерительной системы коммерческого учета электроэнергии (АИИС КУЭ) Комсомольской ТЭЦ-2</t>
  </si>
  <si>
    <t xml:space="preserve">Модернизация системы гарантированного электропитания СДТУ Комсомольской ТЭЦ-2</t>
  </si>
  <si>
    <t xml:space="preserve">Техперевооружение системы управления информационной безопасности, СП Комсомольская ТЭЦ-2</t>
  </si>
  <si>
    <t xml:space="preserve">
Установка системы пожаротушения трансформаторов ст. № 2 Т ,6Т, 7Т, 8Т  Комсомольской ТЭЦ-2
</t>
  </si>
  <si>
    <t xml:space="preserve">Техперевооружение комплекса инженерно-технических средств физической защиты СП "Комсомольская ТЭЦ-1"</t>
  </si>
  <si>
    <t xml:space="preserve">Модернизация автоматизированной информационно- измерительной системы коммерческого учета электроэнергии (АИИС КУЭ) СП Комсомольская ТЭЦ-1</t>
  </si>
  <si>
    <t xml:space="preserve">Модернизация системы гарантированного электропитания СДТУ Комсомольской ТЭЦ-1</t>
  </si>
  <si>
    <t xml:space="preserve">Модернизация склада ГСМ КТЭЦ-2</t>
  </si>
  <si>
    <t xml:space="preserve">«Модернизация системы узлов учёта сброса сточных вод СП «Комсомольская ТЭЦ-2</t>
  </si>
  <si>
    <t xml:space="preserve">Установка автопробоотборника с лентой конвеера МПЛ . СП "Комсомольская ТЭЦ-2", 2 шт</t>
  </si>
  <si>
    <t xml:space="preserve">Строительство площадки металлолома Комсомольской ТЭЦ-2</t>
  </si>
  <si>
    <t xml:space="preserve">Покупка оборудования не входящего в сметы СП КТЭЦ-2</t>
  </si>
  <si>
    <t xml:space="preserve">Приобретение объектов нематериальных активов СП КТЭЦ-2</t>
  </si>
  <si>
    <t xml:space="preserve">КТЭЦ-3, в т.ч.:</t>
  </si>
  <si>
    <t xml:space="preserve">Реконструкция кровли Главного корпуса, кровли турбинного отделения (6220 м2), котельного отделения (5040 м2), дымососного отделения (1984 м2), СП "Комсомольская ТЭЦ-3"</t>
  </si>
  <si>
    <t xml:space="preserve">Модернизация системы СОТИАССО (система обмена технологической информацией с автоматизированной системой системного оператора) Комсомольской ТЭЦ-3</t>
  </si>
  <si>
    <t xml:space="preserve">Модернизация системы гарантированного электропитания СДТУ Комсомольской ТЭЦ-3</t>
  </si>
  <si>
    <t xml:space="preserve">Техперевооружение системы управления информационной безопасности, СП Комсомольская ТЭЦ-3</t>
  </si>
  <si>
    <t xml:space="preserve">Техническое перевооружение электротехнического оборудования с заменой маслянных выключателей - 10шт, для СП "Комсомольская ТЭЦ-3"</t>
  </si>
  <si>
    <t xml:space="preserve">Техническое перевооружение устройств релейной защиты и автоматики высоковольтных линий 110 кВ С115, С116, С117, С118  - 4шт, СП "Комсомольская ТЭЦ-3"</t>
  </si>
  <si>
    <t xml:space="preserve">Техническое перевооружение системы возбуждения турбогенераторов ТГ-1, ТГ-2  - 2шт, СП "Комсомольская ТЭЦ-3"</t>
  </si>
  <si>
    <t xml:space="preserve">Установка кондиционеров на щиты управления, 5 шт,  СП "Комсомольской ТЭЦ-3" </t>
  </si>
  <si>
    <t xml:space="preserve">Установка Автоматизированных систем контроля вибрации и механических величин (АСКВМ) турбин (2 системы), для структурного подразделения Комсомольская ТЭЦ-3</t>
  </si>
  <si>
    <t xml:space="preserve">
Установка системы пожаротушения трансформаторов ст. № Т1, Т2  Комсомольской ТЭЦ-3
</t>
  </si>
  <si>
    <t xml:space="preserve">Техперевооружение комплекса инженерно-технических средств физической защиты СП "Комсомольская ТЭЦ-3", водогрейная котельная "Дземги"</t>
  </si>
  <si>
    <t xml:space="preserve">Строительство быстровозводимого здания защитного сооружения на 300 мест на территории СП Комсомольской ТЭЦ-3</t>
  </si>
  <si>
    <t xml:space="preserve">Разработка и внедрение технологии по повышению охлаждающего эффекта башенных градирен Комсомольской ТЭЦ-3 с проведением исследований по формированию полимерных материалов для оросителей и каплеуловителей</t>
  </si>
  <si>
    <t xml:space="preserve">Покупка оборудования не входящего в сметы СП КТЭЦ-3</t>
  </si>
  <si>
    <t xml:space="preserve">Приобретение объектов нематериальных активов СП КТЭЦ-3</t>
  </si>
  <si>
    <t xml:space="preserve">АТЭЦ, в т.ч.:</t>
  </si>
  <si>
    <t xml:space="preserve">Реконструкция градирни Амурской ТЭЦ-1</t>
  </si>
  <si>
    <t xml:space="preserve">Установка на Амурской ТЭЦ-1 третьего трансформатора связи 110/6 кВ мощностью 63 МВА, СП Амурская ТЭЦ</t>
  </si>
  <si>
    <t xml:space="preserve">Модернизация  багерной с заменой  багерного насоса ГРТ1250/71 с электродвигателем Амурской ТЭЦ-1в количестве 1 шт</t>
  </si>
  <si>
    <t xml:space="preserve">Техперевооружение Амурской ТЭЦ-1 с переводом на сжигание природного газа к/а ст №9,10 на газовое топливо,2шт, СП "Амурская ТЭЦ-1"</t>
  </si>
  <si>
    <t xml:space="preserve">Модернизация ЗРУ-35 кВ с заменой масляных выключателей ВМК-35 на вакуумные (6 шт), СП "Амурская ТЭЦ-1"</t>
  </si>
  <si>
    <t xml:space="preserve">Модернизация устройства резистивного заземления нейтрали в сети СН 6 кВ блока №4, СП "Амурская ТЭЦ-1"</t>
  </si>
  <si>
    <t xml:space="preserve">Техническое перевооружение теплофикационной системы с заменой подогревателя сетевой воды ПСВ 200-7-15 ст.№ ПП-3 (1 шт.), СП "Амурская ТЭЦ-1"</t>
  </si>
  <si>
    <t xml:space="preserve">Техническое перевооружение вагоноопракидывателя ВРС-125 с заменой ротора (1 шт), СП "Амурская ТЭЦ-1"</t>
  </si>
  <si>
    <t xml:space="preserve">Техперевооружение комплекса инженерно-технических средств физической защиты СП  Амурская ТЭЦ</t>
  </si>
  <si>
    <t xml:space="preserve">Модернизация автоматизированной информационно- измерительной системы коммерческого учета электроэнергии (АИИС КУЭ) СП Амурская ТЭЦ</t>
  </si>
  <si>
    <t xml:space="preserve">Модернизация системы гарантированного электропитания СДТУ Амурской ТЭЦ</t>
  </si>
  <si>
    <t xml:space="preserve">Техперевооружение системы управления информационной безопасности, СП Амурская ТЭЦ</t>
  </si>
  <si>
    <t xml:space="preserve">
Установка системы пожаротушения трансформаторов ст. 5Т, 1Т, 2Т  Амурской ТЭЦ
</t>
  </si>
  <si>
    <t xml:space="preserve">Строительство золоотвала Амурской ТЭЦ (ёмкость 3189 тыс. м3, производительность 1200 т/час)</t>
  </si>
  <si>
    <t xml:space="preserve">Разработка и внедрение технологических решений по обеспечению эффективной работы системы ХВО СП "Амурская ТЭЦ-1" при низких электрических и тепловых нагрузках</t>
  </si>
  <si>
    <t xml:space="preserve">Разработка ПИР для проекта Техперевооружение комплекса инженерно-технических средств физической защиты СП  Амурская ТЭЦ</t>
  </si>
  <si>
    <t xml:space="preserve">Покупка оборудования не входящего в сметы СП АТЭЦ</t>
  </si>
  <si>
    <t xml:space="preserve">Приобретение объектов нематериальных активов СП АТЭЦ</t>
  </si>
  <si>
    <t xml:space="preserve">НТЭЦ, в т.ч.:</t>
  </si>
  <si>
    <t xml:space="preserve">Перевод на сжигание природного газа котлоагрегата ст. № 2 Николаевской ТЭЦ</t>
  </si>
  <si>
    <t xml:space="preserve">Модернизация котлоагрегата ст. №1 Николаевской ТЭЦ</t>
  </si>
  <si>
    <t xml:space="preserve">Техперевооружение Николаевской ТЭЦ с переводом котлоагрегата ст. № 1, ст. № 4  на сжигание природного газа </t>
  </si>
  <si>
    <t xml:space="preserve">Техперевооружение системы управления информационной безопасности, СП Николаевская ТЭЦ</t>
  </si>
  <si>
    <t xml:space="preserve">
Установка системы пожаротушения трансформаторов ст.  1Т, 2Т  Николаевской ТЭЦ
</t>
  </si>
  <si>
    <t xml:space="preserve">Техперевооружение комплекса инженерно-технических средств физической защиты СП  Николаевской ТЭЦ, газораспределительной станции (ГРС) Николаевской ТЭЦ</t>
  </si>
  <si>
    <t xml:space="preserve">Техперевооружение резервуаров вертикальных стальных РВС 5000 ст.№1,2 (Расходный склад мазута) СП Николаевская ТЭЦ</t>
  </si>
  <si>
    <t xml:space="preserve">Модернизация деаэраторов атмосферных ДА 200/75 подпитки котла  СП Николаевская ТЭЦ, в количестве 2 шт.</t>
  </si>
  <si>
    <t xml:space="preserve">Модернизация вакуумных деаэраторов СП Николаевская ТЭЦ, в количестве 2 шт.</t>
  </si>
  <si>
    <t xml:space="preserve">Модернизация теплового контура главного корпуса СП Николаевская ТЭЦ</t>
  </si>
  <si>
    <t xml:space="preserve">Установка локальной системы оповещения на территории Николаевской ТЭЦ, включая объекты БСМ  и АГРС, 1 шт.</t>
  </si>
  <si>
    <t xml:space="preserve">Модернизация резервного источника электроснабжения на НТЭЦ</t>
  </si>
  <si>
    <t xml:space="preserve">Покупка оборудования не входящего в сметы СП НТЭЦ</t>
  </si>
  <si>
    <t xml:space="preserve">Повышающий коэффициент</t>
  </si>
  <si>
    <t xml:space="preserve">Приобретение объектов нематериальных активов СП НТЭЦ</t>
  </si>
  <si>
    <t xml:space="preserve">Выкуп имущества МУП "НТС",СП Николавская ТЭЦ</t>
  </si>
  <si>
    <t xml:space="preserve">Предпринимательская прибыль</t>
  </si>
  <si>
    <t xml:space="preserve">СГТЭЦ, в т.ч.:</t>
  </si>
  <si>
    <t xml:space="preserve">Установка баков ёмкостью 200 м.куб, 2 шт., СП ТЭЦ Советская Гавань</t>
  </si>
  <si>
    <t xml:space="preserve">Замена вентиляторов горячего дутья ВГД-10/3000, 12 шт. СП ТЭЦ  Советская Гавань</t>
  </si>
  <si>
    <t xml:space="preserve">Техперевооружение распределительных устройств с заменой релейной защиты автоматики КРУСН-6 кВ 130шт. с поддержкой МЭК 61850, ТЭЦ в г. Советская Гавань</t>
  </si>
  <si>
    <t xml:space="preserve">Разработка и внедрение технологии выбора и обоснования мероприятий направленных на продление срока службы криволинейных участков пылепроводов котлоагрегатов ст. №№ 1, 2, 3, СП "ТЭЦ в г. Советская Гавань"</t>
  </si>
  <si>
    <t xml:space="preserve">Разработка и внедрение инновационного отечественного маятникового клапана системы золоудаления котлоагрегатов ст. №№ 1, 2, 3, СП "ТЭЦ в г. Советская Гавань</t>
  </si>
  <si>
    <t xml:space="preserve">Разработка проектно-изыскательских работ для техперевооружения системы управления информационной безопасности, СП ТЭЦ Советская Гавань</t>
  </si>
  <si>
    <t xml:space="preserve">Покупка оборудования не входящего в сметы СП СГТЭЦ</t>
  </si>
  <si>
    <t xml:space="preserve">Приобретение объектов нематериальных активов СП СГТЭЦ</t>
  </si>
  <si>
    <t xml:space="preserve">Выкуп имущества, входящего в состав "Комплекса имущества ж/д пути необщего пользования к ТЭЦ в г.Советская Гавань"</t>
  </si>
  <si>
    <t xml:space="preserve">Амурская область</t>
  </si>
  <si>
    <t xml:space="preserve"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      </t>
  </si>
  <si>
    <t xml:space="preserve">БТЭЦ, в т.ч.:</t>
  </si>
  <si>
    <t xml:space="preserve">Реконструкция системы управления питания котла ст. №5 с заменой арматуры сниженного узла питания Ду65 на арматуру Ду100, СП Благовещенская ТЭЦ (2-оч.)</t>
  </si>
  <si>
    <t xml:space="preserve">Реконструкция трубопроводов пневмозолоудаления  электрофильтров КА ст. №5 от бака накопителя золы до конвективной части газохода, СП Благовещенская ТЭЦ (2-оч.)</t>
  </si>
  <si>
    <t xml:space="preserve">Реконструкция выхлопного трубопровода  расширителя периодической продувки ст. №2 Благовещенская ТЭЦ (2-ая оч.)</t>
  </si>
  <si>
    <t xml:space="preserve">Реконструкция защиты ШСВ-110кВ. с установкой комплекта оборудования ступенчатой защиты, СП Благовещенская ТЭЦ (2-оч.)</t>
  </si>
  <si>
    <t xml:space="preserve">Реконструкция РУСН 6 кВ, замена сухих трансформаторов СП БТЭЦ</t>
  </si>
  <si>
    <t xml:space="preserve">Реконструкция оборудования ОРУ-110 кВ с заменой МВ на элегазовые СП БТЭЦ</t>
  </si>
  <si>
    <t xml:space="preserve">Реконструкция электродвигателей 6 кВ   собственных нужд станции  СП БТЭЦ</t>
  </si>
  <si>
    <t xml:space="preserve">Реконструкция мостового крана № 1 КЦ  СП БТЭЦ</t>
  </si>
  <si>
    <t xml:space="preserve">Установка и внедрение тренажеров оперативного персонала  на базе АСУТП оборудования2-й очереди, СП Благовещенская ТЭЦ (2-оч.)</t>
  </si>
  <si>
    <t xml:space="preserve">Модернизация устройств КПА-М АРЗКЗ на Благовещенской ТЭЦ (2-ая очередь)</t>
  </si>
  <si>
    <t xml:space="preserve">Установка токарно-винторезных станков (2 шт.) для проведения ремонта оборудования 2 очереди Благовещенской ТЭЦ</t>
  </si>
  <si>
    <t xml:space="preserve">Установка системы тиристорной статической резервной (резервного возбудителя №2), СП Благовещенская ТЭЦ (2-ая очередь)</t>
  </si>
  <si>
    <t xml:space="preserve">Модернизация котлоагрегата ст. №4 .БТЭЦ</t>
  </si>
  <si>
    <t xml:space="preserve">Модернизация дымовой трубы № 2, с заменой системы заградительных огней,СП Благовещенская ТЭЦ</t>
  </si>
  <si>
    <t xml:space="preserve">Модернизация системы кондиционирования ГК ГЩУ, СП Благовещенская ТЭЦ</t>
  </si>
  <si>
    <t xml:space="preserve">Установка обдувочных апаратов на котлоагрегаты ст №1- 3, СП БТЭЦ</t>
  </si>
  <si>
    <t xml:space="preserve">Внедрение автоматического пожаротушенич силовых трансформаторов пристанционного узла Т1,2,3,4, РТСН 2ВТ,3ВТ,4ВТ, СП БТЭЦ</t>
  </si>
  <si>
    <t xml:space="preserve">Техперевооружение системы управления информационной безопасности, СП БТЭЦ</t>
  </si>
  <si>
    <t xml:space="preserve">Техперевооружение комплекса инженерно-технических средств  физической защиты объектов БТЭЦ</t>
  </si>
  <si>
    <t xml:space="preserve">Строительство склада хранения масла в закрытой таре для обслуживания оборудования 2-й очереди на Благовещенской ТЭЦ</t>
  </si>
  <si>
    <t xml:space="preserve">Строительство Новый золоотвал БТЭЦ, емкость - 7,5 млн. м3 (аренда земли)</t>
  </si>
  <si>
    <t xml:space="preserve">Разработка ПИР по проекту "Реконструкция Благовещенской ТЭЦ с переводом на сжигание природного газа  котлоагрегатов ст №1,2"</t>
  </si>
  <si>
    <t xml:space="preserve">Покупка оборудования не входящего в сметы СП БТЭЦ</t>
  </si>
  <si>
    <t xml:space="preserve">Приобретение объектов нематериальных активов СП БТЭЦ</t>
  </si>
  <si>
    <t xml:space="preserve">РГРЭС, в т.ч.:</t>
  </si>
  <si>
    <t xml:space="preserve">Реконструкция   главного паропровода КА БКЗ 220-100Ф ст. № 6 СП РГРЭС </t>
  </si>
  <si>
    <t xml:space="preserve">Реконструкция главного паропровода КА ст. № 7 типа БКЗ 220-100Ф СП РГРЭС</t>
  </si>
  <si>
    <t xml:space="preserve">Реконструкция приемно-сливного устройства ММХ СП РГРЭС</t>
  </si>
  <si>
    <t xml:space="preserve">Техперевооружение конденсатора турбоагрегата ст. № 6 с заменой трубной системы, СП РГРЭС</t>
  </si>
  <si>
    <t xml:space="preserve">Техперевооружение комплекса инженерно-технических средств  физической защиты объектов РГРЭС</t>
  </si>
  <si>
    <t xml:space="preserve">Техперевооружение деаэратора теплосети, СП РГРЭС</t>
  </si>
  <si>
    <t xml:space="preserve">Модернизация АСУТП КАВД, с заменой КИПиА КА№9 СП РГРЭС</t>
  </si>
  <si>
    <t xml:space="preserve">Замена автомобильных весов с внедрением системы автоматизации, СП РГРЭС</t>
  </si>
  <si>
    <t xml:space="preserve">Модернизация системы СОТИАССО (система обмена технологической информацией с автоматизированной системой системного оператора)  СП РГРЭС</t>
  </si>
  <si>
    <t xml:space="preserve">Установка дистанционной защиты ВЛ-35кВ Райчихинская ГРЭС – Широкий и  ВЛ-35кВ Райчихинская ГРЭС – П/С «А» </t>
  </si>
  <si>
    <t xml:space="preserve">Внедрение автоматического пожаротушения силовых трансформаторов пристанционного узла Т6, Т7, АТ-9, СП РГРЭС</t>
  </si>
  <si>
    <t xml:space="preserve">Техперевооружение системы управления информационной безопасности, СП РГРЭС</t>
  </si>
  <si>
    <t xml:space="preserve">Установка защиты всех комплектных распределительных устройств 6 кВ (КРУ-6) на Райчихинской ГРЭС от дуговых коротких замыувний.</t>
  </si>
  <si>
    <t xml:space="preserve">Модернизации АОСН Райчихинской ГРЭС с реализацией УВ на отключение ВЛ 110 кВ Райчихинская ГРЭС - Бурея</t>
  </si>
  <si>
    <t xml:space="preserve">Разработка ПИР для наращивания дамбы золоотвала № 2 СП РГРЭС</t>
  </si>
  <si>
    <t xml:space="preserve">Покупка оборудования не входящего в сметы СП РГРЭС</t>
  </si>
  <si>
    <t xml:space="preserve">Приобретение объектов нематериальных активов СП РГРЭС</t>
  </si>
  <si>
    <t xml:space="preserve">Выкуп оборудования РЗА ,СП Райчихинская ГРЭС</t>
  </si>
  <si>
    <t xml:space="preserve">Приморский край</t>
  </si>
  <si>
    <t xml:space="preserve">1.Повышение надёжного и экономичного энергоснабжения потребителей тепловой и электрической энергией.   Повышение энергетичиской эффективности и энергосбережения.                                                                                                                                                                                           2. Выполнение требований федерального законодательства   Российской Федерации.                                                                                                                                                        </t>
  </si>
  <si>
    <t xml:space="preserve">Партизанская ГРЭС, в т.ч.:</t>
  </si>
  <si>
    <t xml:space="preserve">Техперевооружение ШБМ -1А,1Б,4Б,5А,5Б с заменой электродвигателей Партизанской ГРЭС (кол-во 5 шт)</t>
  </si>
  <si>
    <t xml:space="preserve">Техническое перевооружение оборудования 1-ой очереди Партизанской ГРЭС с его переводом на работу с использованием дизельного топлива (к/а ст.№1 – ст.№5) и переносом ресиверов углекислоты №1 и №2,СП Партизанская ГРЭС</t>
  </si>
  <si>
    <t xml:space="preserve">Модернизация АСУ и ТП турбинного и котельного оборудования Партизанской ГРЭС</t>
  </si>
  <si>
    <t xml:space="preserve">Модернизация системы температурного контроля за состояниями подшипников паровых турбин ТГ №1,2  на Партизанской ГРЭС.</t>
  </si>
  <si>
    <t xml:space="preserve">Модернизация эл.снабжения собственных нужд эл. станции ПГРЭС с установкой силового трансформатора тип ТД-110/16000 на ОРУ 110/35 Партизанской ГРЭС.</t>
  </si>
  <si>
    <t xml:space="preserve">Установка системы непрерывного осушения масла на автотрансформаторе АТ-2 СП «Партизанская ГРЭС» (АТДЦТН-125000/220)),СП Партизанская ГРЭС</t>
  </si>
  <si>
    <t xml:space="preserve">Установка кондиционеров колонного типа на щитах управления КА ст. № 3,4 и КА ст. №5, ТА ст. №2; 2 шт.СП Партизанская ГРЭС</t>
  </si>
  <si>
    <t xml:space="preserve">Модернизация схемы ТПУ-2н с установкой сетевого насоса № 4 СП Партизанской ГРЭС</t>
  </si>
  <si>
    <t xml:space="preserve">Модернизация системы обмена технологической информацией с автоматизированной системного оператора  Партизанской ГРЭС</t>
  </si>
  <si>
    <t xml:space="preserve">Установка АОПО для ВЛ 110 кВ Партизанская ГРЭС – Находка тяговая СП Партизанская ГРЭС</t>
  </si>
  <si>
    <t xml:space="preserve">Установка локальной системы оповещения на гидротехнических сооружениях, СП Партизанская ГРЭС</t>
  </si>
  <si>
    <t xml:space="preserve">Замена грузопассажирского лифта в главном корпусе, г/п 1тн СП Партизанская ГРЭС</t>
  </si>
  <si>
    <t xml:space="preserve">Техперевооружение 1 и 2 секции брызгального бассейна, СП Партизанская ГРЭС</t>
  </si>
  <si>
    <t xml:space="preserve">Техперевооружение системы управления информационной безопасности, Партизанская ГРЭС</t>
  </si>
  <si>
    <t xml:space="preserve">Установка системы пожаротушения трансформаторов ст. № Т-1, Т-2, АТ-1,2 СП Партизанская ГРЭС</t>
  </si>
  <si>
    <t xml:space="preserve">Строительство золошлакоотвала Партизанской ГРЭС "Зеленая балка" с применением геосинтетических материалов - геомембран и геотекстиля (емкость 3 142 тыс. м3)</t>
  </si>
  <si>
    <t xml:space="preserve">Разработка и внедрение технических решений по созданию высокоэффективной установки очистки воды для нужд подпитки барабанных котлов давлением 100 кгс/см2 СП Партизанская ГРЭС (производительность установки - 60 т/ч)</t>
  </si>
  <si>
    <t xml:space="preserve">Покупка оборудования не входящего в сметы СП ПГРЭС</t>
  </si>
  <si>
    <t xml:space="preserve">Приобретение объектов нематериальных активов СП ПГРЭС</t>
  </si>
  <si>
    <t xml:space="preserve">Артемовская ТЭЦ, в т.ч.:</t>
  </si>
  <si>
    <t xml:space="preserve">Реконструкция  багерных насосов ГРТ 1250 в сборе с электродвигателем СП Артёмовская ТЭЦ  4 шт. (2шт. - 2023г, 2 шт. -2024г)</t>
  </si>
  <si>
    <t xml:space="preserve">Реконструкция градирни №3 СП Артёмовская ТЭЦ</t>
  </si>
  <si>
    <t xml:space="preserve">Наращивание дамб  золоотвала №1 Артемовской ТЭЦ  на 1778 тыс. м3</t>
  </si>
  <si>
    <t xml:space="preserve">Замена ПЭНов в сборе с электродвигателем 7шт. (2023г - № 8, 15, 10,12, 2024г. - №7,13,14) СП Артёмовская ТЭЦ </t>
  </si>
  <si>
    <t xml:space="preserve">Реконструкци устройств РЗА ВЛ 110 кВ АТЭЦ-Смоляниново/т, Реконструкция устройств РЗА ВЛ 110кВ АТЭЦ-Промузел</t>
  </si>
  <si>
    <t xml:space="preserve">Установка аккумуляторной батареи 720 А/ч - 2 шт. СК-20, Артемовской ТЭЦ</t>
  </si>
  <si>
    <t xml:space="preserve">Установка аккумуляторной батареи 430 А/ч - 1 шт. СК-12, Артемовской ТЭЦ</t>
  </si>
  <si>
    <t xml:space="preserve">Установка аккумуляторной батареи  215 А/ч - 1 шт. СК-6, Артемовской ТЭЦ</t>
  </si>
  <si>
    <t xml:space="preserve">Установка локальной системы оповещения на гидротехнических сооружениях, СП Артемовская ТЭЦ</t>
  </si>
  <si>
    <t xml:space="preserve">Покупка оборудования не входящего в сметы СП АРТЭЦ</t>
  </si>
  <si>
    <t xml:space="preserve">Приобретение объектов нематериальных активов СП АРТЭЦ</t>
  </si>
  <si>
    <t xml:space="preserve">ТЭЦ Восточная, в т.ч.:</t>
  </si>
  <si>
    <t xml:space="preserve">Техперевооружение системы управления информационной безопасности, СП ТЭЦ Восточная</t>
  </si>
  <si>
    <t xml:space="preserve">Техперевооружение системы радиосвязи Восточной ТЭЦ</t>
  </si>
  <si>
    <t xml:space="preserve">Разработка ПИР для техперевооружения громкоговорящей связи Восточной ТЭЦ</t>
  </si>
  <si>
    <t xml:space="preserve">Устройство площадки для хранения металлолома на территории Восточной ТЭЦ"</t>
  </si>
  <si>
    <t xml:space="preserve">Разработка основных технических решений по объекту "Реконструкция ТЭЦ Восточная с установкой газовых турбин типа ГТЭ-65 м водонагревательных колтов-утилизаторов",СП ТЭЦ Восточная</t>
  </si>
  <si>
    <t xml:space="preserve">Разработка ПИР для реализации проекта "Техническое перевооружение технологических трубопроводов, устройств и сооружений СП ТЭЦ Восточная"</t>
  </si>
  <si>
    <t xml:space="preserve">Республика САХА (Якутия)</t>
  </si>
  <si>
    <t xml:space="preserve">1.Повышение надёжного и экономичного энергоснабжения потребителей тепловой и электрической энергией. 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                                       2.Выполнения требований законодательства Российской Федерации.                                                                        </t>
  </si>
  <si>
    <t xml:space="preserve">Нерюнгринская ГРЭС, в т.ч.:</t>
  </si>
  <si>
    <t xml:space="preserve">Техническое перевооружение маслосистемы с установкой второй маслоочислительной установки ТА-3 Нерюнгринской ГРЭС</t>
  </si>
  <si>
    <t xml:space="preserve">Разработка ПИР на модернизацию технологических защит энергоблоков №1, 2, 3 Нерюнгринской ГРЭС</t>
  </si>
  <si>
    <t xml:space="preserve">Расширение открытого распределительного устройства (ОРУ) 220 кВ НГРЭС на одну ячейку</t>
  </si>
  <si>
    <t xml:space="preserve">Средства от компенсации (ФСК)</t>
  </si>
  <si>
    <t xml:space="preserve">Наращивание дамбы шлакозолоотвала №1 НГРЭС</t>
  </si>
  <si>
    <t xml:space="preserve">Реконструкция пылесистем котлоагрегатов Нерюнгринской ГРЭС (ПИР)</t>
  </si>
  <si>
    <t xml:space="preserve">Установка системы принудительного расхолаживания турбин Нерюнгринской ГРЭС</t>
  </si>
  <si>
    <t xml:space="preserve">Замена оборудования энергоблока ст.№1 НГРЭС (насосы с эл. двиг.: ПЭН-1Б, ЦН-1А, ЦН-1Б; ГВ ВГ-1; МВ В-1Т 110кВ)</t>
  </si>
  <si>
    <t xml:space="preserve">Замена оборудования энергоблока ст.№2 НГРЭС (РВД, РСД; генератор; ГВ ВГ-2; насос ПЭН-2А с эл. двиг.; 2Т ТДЦ-250/110; МВ В-2Т 110кВ).</t>
  </si>
  <si>
    <t xml:space="preserve">Замена оборудования энергоблока ст.№3 НГРЭС (3Т ТДЦ-250/220 кВ; насос ПЭН-3А с эл. двиг., ВГ-3)</t>
  </si>
  <si>
    <t xml:space="preserve">Техперевооружение системы выдачи электрической мощности НГРЭС (ТТ: В-201, 202; МВ: В-114, В-115, В-203, В-201, В-110-1АТ, В-110-2АТ, В-220-1АТ, В-220-2АТ, В-202; РЗА: В-114, В-115, В-203, В-201, В-202; АТ с РЗА: 1АТ, 2АТ)</t>
  </si>
  <si>
    <t xml:space="preserve">Установка системы автоматического регулирования мощности энергоблоков № 1, 2, 3 Нерюнгринской ГРЭС</t>
  </si>
  <si>
    <t xml:space="preserve">Техническое перевооружение эбергоблока №3 Нерюнгринской ГРЭС</t>
  </si>
  <si>
    <t xml:space="preserve">Экономия по торгам,от закупок</t>
  </si>
  <si>
    <t xml:space="preserve">
Установка редукционно-охладительной установки Чульманской ТЭЦ (2 шт.)</t>
  </si>
  <si>
    <t xml:space="preserve">Техперевооружение комплекса инженерно-технических средств физической защиты НГРЭС</t>
  </si>
  <si>
    <t xml:space="preserve">Техперевооружение комплекса инженерно-технических средств физической защиты ЧТЭЦ</t>
  </si>
  <si>
    <t xml:space="preserve">Замена дробильно-фрезеровочных машин Нерюнгринской ГРЭС (6 шт.)</t>
  </si>
  <si>
    <t xml:space="preserve">Техперевооружение системы управления информационной безопасности, СП НГРЭС</t>
  </si>
  <si>
    <t xml:space="preserve">Установка дифференциальной защиты шин на Чульманской ТЭЦ</t>
  </si>
  <si>
    <t xml:space="preserve">Установка автомобильных весов НГРЭС, 1 шт. </t>
  </si>
  <si>
    <t xml:space="preserve">Модернизация релейной защиты и автоматики (РЗА) НГРЭС </t>
  </si>
  <si>
    <t xml:space="preserve">Строительство 3-ей нитки  гидрозолоудаления НГРЭС (протяженность - 7,5 км)</t>
  </si>
  <si>
    <t xml:space="preserve">Разработка ПИР для проекта "Установка релейной защиты ВЛ 110 кВ Нерюнгринская ГРЭС
– Чульман с отпайками и ВЛ 110 кВ Нерюнгринская ГРЭС – Малый Нимныр с отпайками на Нерюнгринской ГРЭС</t>
  </si>
  <si>
    <t xml:space="preserve">Разработка ПИР для проекта "Установка релейной защиты ВЛ 110 кВ Нерюнгринская ГРЭС
– Малый Нимныр с отпайками на ПС 110 кВ ВГК</t>
  </si>
  <si>
    <t xml:space="preserve">Покупка оборудования не входящего в сметы СП НГРЭС</t>
  </si>
  <si>
    <t xml:space="preserve">Прочая прибыль</t>
  </si>
  <si>
    <t xml:space="preserve">Приобретение объектов нематериальных активов СП НГРЭС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</si>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</sst>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&quot;р.&quot;_-;\-* #,##0.00&quot;р.&quot;_-;_-* &quot;-&quot;??&quot;р.&quot;_-;_-@_-"/>
    <numFmt numFmtId="161" formatCode="_-* #,##0.00_-;_-* #,##0.00\-;_-* &quot;-&quot;??_-;_-@_-"/>
    <numFmt numFmtId="162" formatCode="General_)"/>
    <numFmt numFmtId="163" formatCode="0.0"/>
    <numFmt numFmtId="164" formatCode="_-* #,##0_р_._-;\-* #,##0_р_._-;_-* &quot;-&quot;_р_._-;_-@_-"/>
    <numFmt numFmtId="165" formatCode="_-* #,##0.00_р_._-;\-* #,##0.00_р_._-;_-* &quot;-&quot;??_р_._-;_-@_-"/>
    <numFmt numFmtId="166" formatCode="#,##0_ ;\-#,##0\ "/>
    <numFmt numFmtId="167" formatCode="_-* #,##0.00\ _р_._-;\-* #,##0.00\ _р_._-;_-* &quot;-&quot;??\ _р_._-;_-@_-"/>
  </numFmts>
  <fonts count="43">
    <font>
      <sz val="12.000000"/>
      <color theme="1"/>
      <name val="Times New Roman"/>
    </font>
    <font>
      <sz val="10.000000"/>
      <name val="Helv"/>
    </font>
    <font>
      <sz val="10.000000"/>
      <name val="Arial Cyr"/>
    </font>
    <font>
      <sz val="1.000000"/>
      <name val="Courier"/>
    </font>
    <font>
      <b/>
      <sz val="1.000000"/>
      <name val="Courier"/>
    </font>
    <font>
      <sz val="10.000000"/>
      <name val="MS Sans Serif"/>
    </font>
    <font>
      <sz val="11.000000"/>
      <name val="Calibri"/>
    </font>
    <font>
      <sz val="11.000000"/>
      <color indexed="65"/>
      <name val="Calibri"/>
    </font>
    <font>
      <sz val="8.000000"/>
      <name val="Helv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sz val="12.000000"/>
      <name val="Times New Roman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0.000000"/>
      <color indexed="4"/>
      <name val="Arial Cyr"/>
    </font>
    <font>
      <sz val="9.000000"/>
      <name val="Tahoma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2.000000"/>
      <name val="Calibri"/>
    </font>
    <font>
      <sz val="11.000000"/>
      <name val="SimSun"/>
    </font>
    <font>
      <sz val="11.000000"/>
      <color theme="1"/>
      <name val="Calibri"/>
      <scheme val="minor"/>
    </font>
    <font>
      <sz val="11.000000"/>
      <color indexed="20"/>
      <name val="Calibri"/>
    </font>
    <font>
      <sz val="11.000000"/>
      <name val="Times New Roman CYR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0.000000"/>
      <name val="NTHarmonica"/>
    </font>
    <font>
      <sz val="11.000000"/>
      <color indexed="17"/>
      <name val="Calibri"/>
    </font>
    <font>
      <sz val="14.000000"/>
      <name val="Times New Roman"/>
    </font>
    <font>
      <b/>
      <sz val="22.000000"/>
      <name val="Times New Roman"/>
    </font>
    <font>
      <b/>
      <sz val="14.000000"/>
      <name val="Times New Roman"/>
    </font>
    <font>
      <b/>
      <sz val="16.000000"/>
      <name val="Times New Roman"/>
    </font>
    <font>
      <b/>
      <sz val="14.000000"/>
      <name val="Times New Roman CYR"/>
    </font>
    <font>
      <b/>
      <sz val="12.000000"/>
      <name val="Times New Roman"/>
    </font>
    <font>
      <sz val="12.000000"/>
      <name val="Times New Roman Cyr"/>
    </font>
    <font>
      <b/>
      <sz val="18.000000"/>
      <name val="Times New Roman"/>
    </font>
    <font>
      <sz val="18.000000"/>
      <name val="Times New Roman Cyr"/>
    </font>
    <font>
      <sz val="18.000000"/>
      <name val="Times New Roman"/>
    </font>
  </fonts>
  <fills count="27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</fills>
  <borders count="46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double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none"/>
      <top style="hair">
        <color auto="1"/>
      </top>
      <bottom style="hair">
        <color indexed="65"/>
      </bottom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</borders>
  <cellStyleXfs count="207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>
      <protection locked="0"/>
    </xf>
    <xf fontId="3" fillId="0" borderId="0" numFmtId="160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3" fillId="0" borderId="0" numFmtId="160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3" fillId="0" borderId="1" numFmtId="0" applyNumberFormat="1" applyFont="1" applyFill="1" applyBorder="1">
      <protection locked="0"/>
    </xf>
    <xf fontId="4" fillId="0" borderId="0" numFmtId="0" applyNumberFormat="1" applyFont="1" applyFill="1" applyBorder="1">
      <protection locked="0"/>
    </xf>
    <xf fontId="4" fillId="0" borderId="0" numFmtId="0" applyNumberFormat="1" applyFont="1" applyFill="1" applyBorder="1">
      <protection locked="0"/>
    </xf>
    <xf fontId="2" fillId="0" borderId="1" numFmtId="161" applyNumberFormat="1" applyFont="1" applyFill="1" applyBorder="1">
      <protection locked="0"/>
    </xf>
    <xf fontId="5" fillId="2" borderId="0" numFmtId="0" applyNumberFormat="1" applyFont="1" applyFill="1" applyBorder="1"/>
    <xf fontId="6" fillId="3" borderId="0" numFmtId="0" applyNumberFormat="0" applyFont="1" applyFill="1" applyBorder="0" applyProtection="0"/>
    <xf fontId="6" fillId="3" borderId="0" numFmtId="0" applyNumberFormat="0" applyFont="1" applyFill="1" applyBorder="0" applyProtection="0"/>
    <xf fontId="6" fillId="4" borderId="0" numFmtId="0" applyNumberFormat="0" applyFont="1" applyFill="1" applyBorder="0" applyProtection="0"/>
    <xf fontId="6" fillId="4" borderId="0" numFmtId="0" applyNumberFormat="0" applyFont="1" applyFill="1" applyBorder="0" applyProtection="0"/>
    <xf fontId="6" fillId="5" borderId="0" numFmtId="0" applyNumberFormat="0" applyFont="1" applyFill="1" applyBorder="0" applyProtection="0"/>
    <xf fontId="6" fillId="5" borderId="0" numFmtId="0" applyNumberFormat="0" applyFont="1" applyFill="1" applyBorder="0" applyProtection="0"/>
    <xf fontId="6" fillId="6" borderId="0" numFmtId="0" applyNumberFormat="0" applyFont="1" applyFill="1" applyBorder="0" applyProtection="0"/>
    <xf fontId="6" fillId="6" borderId="0" numFmtId="0" applyNumberFormat="0" applyFont="1" applyFill="1" applyBorder="0" applyProtection="0"/>
    <xf fontId="6" fillId="7" borderId="0" numFmtId="0" applyNumberFormat="0" applyFont="1" applyFill="1" applyBorder="0" applyProtection="0"/>
    <xf fontId="6" fillId="7" borderId="0" numFmtId="0" applyNumberFormat="0" applyFont="1" applyFill="1" applyBorder="0" applyProtection="0"/>
    <xf fontId="6" fillId="8" borderId="0" numFmtId="0" applyNumberFormat="0" applyFont="1" applyFill="1" applyBorder="0" applyProtection="0"/>
    <xf fontId="6" fillId="8" borderId="0" numFmtId="0" applyNumberFormat="0" applyFont="1" applyFill="1" applyBorder="0" applyProtection="0"/>
    <xf fontId="6" fillId="9" borderId="0" numFmtId="0" applyNumberFormat="0" applyFont="1" applyFill="1" applyBorder="0" applyProtection="0"/>
    <xf fontId="6" fillId="9" borderId="0" numFmtId="0" applyNumberFormat="0" applyFont="1" applyFill="1" applyBorder="0" applyProtection="0"/>
    <xf fontId="6" fillId="10" borderId="0" numFmtId="0" applyNumberFormat="0" applyFont="1" applyFill="1" applyBorder="0" applyProtection="0"/>
    <xf fontId="6" fillId="10" borderId="0" numFmtId="0" applyNumberFormat="0" applyFont="1" applyFill="1" applyBorder="0" applyProtection="0"/>
    <xf fontId="6" fillId="11" borderId="0" numFmtId="0" applyNumberFormat="0" applyFont="1" applyFill="1" applyBorder="0" applyProtection="0"/>
    <xf fontId="6" fillId="11" borderId="0" numFmtId="0" applyNumberFormat="0" applyFont="1" applyFill="1" applyBorder="0" applyProtection="0"/>
    <xf fontId="6" fillId="6" borderId="0" numFmtId="0" applyNumberFormat="0" applyFont="1" applyFill="1" applyBorder="0" applyProtection="0"/>
    <xf fontId="6" fillId="6" borderId="0" numFmtId="0" applyNumberFormat="0" applyFont="1" applyFill="1" applyBorder="0" applyProtection="0"/>
    <xf fontId="6" fillId="9" borderId="0" numFmtId="0" applyNumberFormat="0" applyFont="1" applyFill="1" applyBorder="0" applyProtection="0"/>
    <xf fontId="6" fillId="9" borderId="0" numFmtId="0" applyNumberFormat="0" applyFont="1" applyFill="1" applyBorder="0" applyProtection="0"/>
    <xf fontId="6" fillId="12" borderId="0" numFmtId="0" applyNumberFormat="0" applyFont="1" applyFill="1" applyBorder="0" applyProtection="0"/>
    <xf fontId="6" fillId="12" borderId="0" numFmtId="0" applyNumberFormat="0" applyFont="1" applyFill="1" applyBorder="0" applyProtection="0"/>
    <xf fontId="7" fillId="13" borderId="0" numFmtId="0" applyNumberFormat="0" applyFont="1" applyFill="1" applyBorder="0" applyProtection="0"/>
    <xf fontId="7" fillId="10" borderId="0" numFmtId="0" applyNumberFormat="0" applyFont="1" applyFill="1" applyBorder="0" applyProtection="0"/>
    <xf fontId="7" fillId="11" borderId="0" numFmtId="0" applyNumberFormat="0" applyFont="1" applyFill="1" applyBorder="0" applyProtection="0"/>
    <xf fontId="7" fillId="14" borderId="0" numFmtId="0" applyNumberFormat="0" applyFont="1" applyFill="1" applyBorder="0" applyProtection="0"/>
    <xf fontId="7" fillId="15" borderId="0" numFmtId="0" applyNumberFormat="0" applyFont="1" applyFill="1" applyBorder="0" applyProtection="0"/>
    <xf fontId="7" fillId="16" borderId="0" numFmtId="0" applyNumberFormat="0" applyFont="1" applyFill="1" applyBorder="0" applyProtection="0"/>
    <xf fontId="2" fillId="0" borderId="0" numFmtId="161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2" fillId="0" borderId="0" numFmtId="161" applyNumberFormat="1" applyFont="1" applyFill="1" applyBorder="1">
      <protection locked="0"/>
    </xf>
    <xf fontId="5" fillId="0" borderId="2" numFmtId="0" applyNumberFormat="1" applyFont="1" applyFill="1" applyBorder="1"/>
    <xf fontId="1" fillId="0" borderId="0" numFmtId="0" applyNumberFormat="1" applyFont="1" applyFill="1" applyBorder="1"/>
    <xf fontId="8" fillId="0" borderId="0" numFmtId="0" applyNumberFormat="1" applyFont="1" applyFill="1" applyBorder="1"/>
    <xf fontId="8" fillId="0" borderId="0" numFmtId="0" applyNumberFormat="0" applyFont="1" applyFill="1" applyBorder="1">
      <alignment horizontal="left"/>
    </xf>
    <xf fontId="7" fillId="17" borderId="0" numFmtId="0" applyNumberFormat="0" applyFont="1" applyFill="1" applyBorder="0" applyProtection="0"/>
    <xf fontId="7" fillId="18" borderId="0" numFmtId="0" applyNumberFormat="0" applyFont="1" applyFill="1" applyBorder="0" applyProtection="0"/>
    <xf fontId="7" fillId="19" borderId="0" numFmtId="0" applyNumberFormat="0" applyFont="1" applyFill="1" applyBorder="0" applyProtection="0"/>
    <xf fontId="7" fillId="14" borderId="0" numFmtId="0" applyNumberFormat="0" applyFont="1" applyFill="1" applyBorder="0" applyProtection="0"/>
    <xf fontId="7" fillId="15" borderId="0" numFmtId="0" applyNumberFormat="0" applyFont="1" applyFill="1" applyBorder="0" applyProtection="0"/>
    <xf fontId="7" fillId="20" borderId="0" numFmtId="0" applyNumberFormat="0" applyFont="1" applyFill="1" applyBorder="0" applyProtection="0"/>
    <xf fontId="2" fillId="0" borderId="3" numFmtId="162" applyNumberFormat="1" applyFont="1" applyFill="1" applyBorder="1">
      <protection locked="0"/>
    </xf>
    <xf fontId="9" fillId="8" borderId="4" numFmtId="0" applyNumberFormat="0" applyFont="1" applyFill="1" applyBorder="1" applyProtection="0"/>
    <xf fontId="10" fillId="21" borderId="5" numFmtId="0" applyNumberFormat="0" applyFont="1" applyFill="1" applyBorder="1" applyProtection="0"/>
    <xf fontId="11" fillId="21" borderId="4" numFmtId="0" applyNumberFormat="0" applyFont="1" applyFill="1" applyBorder="1" applyProtection="0"/>
    <xf fontId="12" fillId="0" borderId="0" numFmtId="160" applyNumberFormat="1" applyFont="0" applyFill="0" applyBorder="0" applyProtection="0"/>
    <xf fontId="13" fillId="0" borderId="6" numFmtId="0" applyNumberFormat="0" applyFont="1" applyFill="0" applyBorder="1" applyProtection="0"/>
    <xf fontId="14" fillId="0" borderId="7" numFmtId="0" applyNumberFormat="0" applyFont="1" applyFill="0" applyBorder="1" applyProtection="0"/>
    <xf fontId="15" fillId="0" borderId="8" numFmtId="0" applyNumberFormat="0" applyFont="1" applyFill="0" applyBorder="1" applyProtection="0"/>
    <xf fontId="15" fillId="0" borderId="0" numFmtId="0" applyNumberFormat="0" applyFont="1" applyFill="0" applyBorder="0" applyProtection="0"/>
    <xf fontId="16" fillId="7" borderId="3" numFmtId="162" applyNumberFormat="1" applyFont="1" applyFill="1" applyBorder="1"/>
    <xf fontId="17" fillId="22" borderId="9" numFmtId="4" applyNumberFormat="1" applyFont="1" applyFill="1" applyBorder="0">
      <alignment horizontal="right"/>
    </xf>
    <xf fontId="18" fillId="0" borderId="10" numFmtId="0" applyNumberFormat="0" applyFont="1" applyFill="0" applyBorder="1" applyProtection="0"/>
    <xf fontId="19" fillId="23" borderId="11" numFmtId="0" applyNumberFormat="0" applyFont="1" applyFill="1" applyBorder="1" applyProtection="0"/>
    <xf fontId="20" fillId="0" borderId="0" numFmtId="0" applyNumberFormat="0" applyFont="1" applyFill="0" applyBorder="0" applyProtection="0"/>
    <xf fontId="21" fillId="22" borderId="0" numFmtId="0" applyNumberFormat="0" applyFont="1" applyFill="1" applyBorder="0" applyProtection="0"/>
    <xf fontId="12" fillId="0" borderId="0" numFmtId="0" applyNumberFormat="1" applyFont="1" applyFill="1" applyBorder="1"/>
    <xf fontId="22" fillId="0" borderId="0" numFmtId="0" applyNumberFormat="1" applyFont="1" applyFill="1" applyBorder="1"/>
    <xf fontId="2" fillId="0" borderId="0" numFmtId="0" applyNumberFormat="1" applyFont="1" applyFill="1" applyBorder="1"/>
    <xf fontId="6" fillId="0" borderId="0" numFmtId="0" applyNumberFormat="1" applyFont="1" applyFill="1" applyBorder="1"/>
    <xf fontId="2" fillId="0" borderId="0" numFmtId="0" applyNumberFormat="1" applyFont="1" applyFill="1" applyBorder="1"/>
    <xf fontId="22" fillId="0" borderId="0" numFmtId="0" applyNumberFormat="1" applyFont="1" applyFill="1" applyBorder="1"/>
    <xf fontId="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22" fillId="0" borderId="0" numFmtId="0" applyNumberFormat="1" applyFont="1" applyFill="1" applyBorder="1"/>
    <xf fontId="23" fillId="0" borderId="0" numFmtId="0" applyNumberFormat="1" applyFont="1" applyFill="1" applyBorder="1"/>
    <xf fontId="24" fillId="0" borderId="0" numFmtId="0" applyNumberFormat="1" applyFont="1" applyFill="1" applyBorder="1"/>
    <xf fontId="2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22" fillId="0" borderId="0" numFmtId="0" applyNumberFormat="1" applyFont="1" applyFill="1" applyBorder="1"/>
    <xf fontId="24" fillId="0" borderId="0" numFmtId="0" applyNumberFormat="1" applyFont="1" applyFill="1" applyBorder="1"/>
    <xf fontId="2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25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12" fillId="0" borderId="0" numFmtId="0" applyNumberFormat="1" applyFont="1" applyFill="1" applyBorder="1"/>
    <xf fontId="2" fillId="0" borderId="0" numFmtId="0" applyNumberFormat="1" applyFont="1" applyFill="1" applyBorder="1"/>
    <xf fontId="26" fillId="4" borderId="0" numFmtId="0" applyNumberFormat="0" applyFont="1" applyFill="1" applyBorder="0" applyProtection="0"/>
    <xf fontId="27" fillId="22" borderId="12" numFmtId="163" applyNumberFormat="0" applyFont="1" applyFill="1" applyBorder="0">
      <alignment vertical="center"/>
      <protection locked="0"/>
    </xf>
    <xf fontId="28" fillId="0" borderId="0" numFmtId="0" applyNumberFormat="0" applyFont="1" applyFill="0" applyBorder="0" applyProtection="0"/>
    <xf fontId="6" fillId="24" borderId="13" numFmtId="0" applyNumberFormat="0" applyFont="0" applyFill="1" applyBorder="1" applyProtection="0"/>
    <xf fontId="6" fillId="24" borderId="13" numFmtId="0" applyNumberFormat="0" applyFont="0" applyFill="1" applyBorder="1" applyProtection="0"/>
    <xf fontId="2" fillId="0" borderId="0" numFmtId="9" applyNumberFormat="1" applyFont="0" applyFill="0" applyBorder="0" applyProtection="0"/>
    <xf fontId="12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9" fillId="0" borderId="14" numFmtId="0" applyNumberFormat="0" applyFont="1" applyFill="0" applyBorder="1" applyProtection="0"/>
    <xf fontId="1" fillId="0" borderId="0" numFmtId="0" applyNumberFormat="1" applyFont="1" applyFill="1" applyBorder="1"/>
    <xf fontId="1" fillId="0" borderId="0" numFmtId="0" applyNumberFormat="1" applyFont="1" applyFill="1" applyBorder="1"/>
    <xf fontId="30" fillId="0" borderId="0" numFmtId="0" applyNumberFormat="0" applyFont="1" applyFill="0" applyBorder="0" applyProtection="0"/>
    <xf fontId="31" fillId="0" borderId="0" numFmtId="164" applyNumberFormat="1" applyFont="0" applyFill="0" applyBorder="0" applyProtection="0"/>
    <xf fontId="31" fillId="0" borderId="0" numFmtId="165" applyNumberFormat="1" applyFont="0" applyFill="0" applyBorder="0" applyProtection="0"/>
    <xf fontId="25" fillId="0" borderId="0" numFmtId="165" applyNumberFormat="1" applyFont="0" applyFill="0" applyBorder="0" applyProtection="0"/>
    <xf fontId="25" fillId="0" borderId="0" numFmtId="165" applyNumberFormat="1" applyFont="0" applyFill="0" applyBorder="0" applyProtection="0"/>
    <xf fontId="2" fillId="0" borderId="0" numFmtId="165" applyNumberFormat="1" applyFont="0" applyFill="0" applyBorder="0" applyProtection="0"/>
    <xf fontId="22" fillId="0" borderId="0" numFmtId="166" applyNumberFormat="1" applyFont="0" applyFill="0" applyBorder="0" applyProtection="0"/>
    <xf fontId="25" fillId="0" borderId="0" numFmtId="165" applyNumberFormat="1" applyFont="0" applyFill="0" applyBorder="0" applyProtection="0"/>
    <xf fontId="25" fillId="0" borderId="0" numFmtId="165" applyNumberFormat="1" applyFont="0" applyFill="0" applyBorder="0" applyProtection="0"/>
    <xf fontId="25" fillId="0" borderId="0" numFmtId="167" applyNumberFormat="1" applyFont="0" applyFill="0" applyBorder="0" applyProtection="0"/>
    <xf fontId="2" fillId="0" borderId="0" numFmtId="165" applyNumberFormat="1" applyFont="0" applyFill="0" applyBorder="0" applyProtection="0"/>
    <xf fontId="25" fillId="0" borderId="0" numFmtId="167" applyNumberFormat="1" applyFont="0" applyFill="0" applyBorder="0" applyProtection="0"/>
    <xf fontId="12" fillId="0" borderId="0" numFmtId="165" applyNumberFormat="1" applyFont="0" applyFill="0" applyBorder="0" applyProtection="0"/>
    <xf fontId="25" fillId="0" borderId="0" numFmtId="167" applyNumberFormat="1" applyFont="0" applyFill="0" applyBorder="0" applyProtection="0"/>
    <xf fontId="25" fillId="0" borderId="0" numFmtId="167" applyNumberFormat="1" applyFont="0" applyFill="0" applyBorder="0" applyProtection="0"/>
    <xf fontId="2" fillId="0" borderId="0" numFmtId="165" applyNumberFormat="1" applyFont="0" applyFill="0" applyBorder="0" applyProtection="0"/>
    <xf fontId="12" fillId="0" borderId="0" numFmtId="165" applyNumberFormat="1" applyFont="0" applyFill="0" applyBorder="0" applyProtection="0"/>
    <xf fontId="12" fillId="0" borderId="0" numFmtId="165" applyNumberFormat="1" applyFont="0" applyFill="0" applyBorder="0" applyProtection="0"/>
    <xf fontId="17" fillId="5" borderId="0" numFmtId="4" applyNumberFormat="1" applyFont="0" applyFill="1" applyBorder="0">
      <alignment horizontal="right"/>
    </xf>
    <xf fontId="32" fillId="5" borderId="0" numFmtId="0" applyNumberFormat="0" applyFont="1" applyFill="1" applyBorder="0" applyProtection="0"/>
    <xf fontId="3" fillId="0" borderId="0" numFmtId="160" applyNumberFormat="1" applyFont="1" applyFill="1" applyBorder="1">
      <protection locked="0"/>
    </xf>
  </cellStyleXfs>
  <cellXfs count="107">
    <xf fontId="0" fillId="0" borderId="0" numFmtId="0" xfId="0"/>
    <xf fontId="12" fillId="0" borderId="0" numFmtId="0" xfId="139" applyFont="1"/>
    <xf fontId="12" fillId="25" borderId="0" numFmtId="0" xfId="139" applyFont="1" applyFill="1" applyAlignment="1">
      <alignment horizontal="left"/>
    </xf>
    <xf fontId="12" fillId="25" borderId="0" numFmtId="0" xfId="139" applyFont="1" applyFill="1"/>
    <xf fontId="33" fillId="25" borderId="0" numFmtId="0" xfId="139" applyFont="1" applyFill="1"/>
    <xf fontId="34" fillId="0" borderId="0" numFmtId="0" xfId="139" applyFont="1" applyAlignment="1">
      <alignment horizontal="center" vertical="top"/>
    </xf>
    <xf fontId="35" fillId="0" borderId="15" numFmtId="0" xfId="139" applyFont="1" applyBorder="1" applyAlignment="1">
      <alignment horizontal="center" vertical="center"/>
    </xf>
    <xf fontId="35" fillId="0" borderId="16" numFmtId="0" xfId="139" applyFont="1" applyBorder="1" applyAlignment="1">
      <alignment horizontal="center" vertical="center"/>
    </xf>
    <xf fontId="35" fillId="0" borderId="17" numFmtId="0" xfId="139" applyFont="1" applyBorder="1" applyAlignment="1">
      <alignment horizontal="center" vertical="center"/>
    </xf>
    <xf fontId="35" fillId="0" borderId="18" numFmtId="0" xfId="139" applyFont="1" applyBorder="1" applyAlignment="1">
      <alignment horizontal="center" vertical="center" wrapText="1"/>
    </xf>
    <xf fontId="35" fillId="0" borderId="19" numFmtId="0" xfId="139" applyFont="1" applyBorder="1" applyAlignment="1">
      <alignment horizontal="center" vertical="center" wrapText="1"/>
    </xf>
    <xf fontId="35" fillId="0" borderId="19" numFmtId="0" xfId="139" applyFont="1" applyBorder="1" applyAlignment="1">
      <alignment horizontal="center" vertical="center"/>
    </xf>
    <xf fontId="35" fillId="0" borderId="20" numFmtId="0" xfId="139" applyFont="1" applyBorder="1" applyAlignment="1">
      <alignment horizontal="center" vertical="center"/>
    </xf>
    <xf fontId="35" fillId="0" borderId="21" numFmtId="0" xfId="139" applyFont="1" applyBorder="1" applyAlignment="1">
      <alignment horizontal="center" vertical="center" wrapText="1"/>
    </xf>
    <xf fontId="35" fillId="0" borderId="9" numFmtId="0" xfId="139" applyFont="1" applyBorder="1" applyAlignment="1">
      <alignment horizontal="center" vertical="center" wrapText="1"/>
    </xf>
    <xf fontId="35" fillId="25" borderId="9" numFmtId="0" xfId="139" applyFont="1" applyFill="1" applyBorder="1" applyAlignment="1">
      <alignment horizontal="center" vertical="center" wrapText="1"/>
    </xf>
    <xf fontId="35" fillId="0" borderId="22" numFmtId="0" xfId="139" applyFont="1" applyBorder="1" applyAlignment="1">
      <alignment horizontal="center" vertical="center" wrapText="1"/>
    </xf>
    <xf fontId="35" fillId="0" borderId="23" numFmtId="0" xfId="139" applyFont="1" applyBorder="1" applyAlignment="1">
      <alignment horizontal="center" vertical="center" wrapText="1"/>
    </xf>
    <xf fontId="35" fillId="0" borderId="24" numFmtId="0" xfId="139" applyFont="1" applyBorder="1" applyAlignment="1">
      <alignment horizontal="center" vertical="center" wrapText="1"/>
    </xf>
    <xf fontId="35" fillId="25" borderId="24" numFmtId="0" xfId="139" applyFont="1" applyFill="1" applyBorder="1" applyAlignment="1">
      <alignment horizontal="center" vertical="center" wrapText="1"/>
    </xf>
    <xf fontId="35" fillId="0" borderId="25" numFmtId="0" xfId="139" applyFont="1" applyBorder="1" applyAlignment="1">
      <alignment horizontal="center" vertical="center" wrapText="1"/>
    </xf>
    <xf fontId="12" fillId="0" borderId="0" numFmtId="4" xfId="139" applyNumberFormat="1" applyFont="1"/>
    <xf fontId="35" fillId="0" borderId="26" numFmtId="0" xfId="139" applyFont="1" applyBorder="1" applyAlignment="1">
      <alignment horizontal="center"/>
    </xf>
    <xf fontId="35" fillId="0" borderId="27" numFmtId="0" xfId="139" applyFont="1" applyBorder="1" applyAlignment="1">
      <alignment horizontal="center"/>
    </xf>
    <xf fontId="35" fillId="25" borderId="27" numFmtId="0" xfId="139" applyFont="1" applyFill="1" applyBorder="1" applyAlignment="1">
      <alignment horizontal="center" vertical="center" wrapText="1"/>
    </xf>
    <xf fontId="35" fillId="25" borderId="27" numFmtId="0" xfId="139" applyFont="1" applyFill="1" applyBorder="1" applyAlignment="1">
      <alignment horizontal="center"/>
    </xf>
    <xf fontId="35" fillId="0" borderId="28" numFmtId="0" xfId="139" applyFont="1" applyBorder="1" applyAlignment="1">
      <alignment horizontal="center"/>
    </xf>
    <xf fontId="12" fillId="0" borderId="29" numFmtId="0" xfId="139" applyFont="1" applyBorder="1"/>
    <xf fontId="12" fillId="0" borderId="30" numFmtId="0" xfId="139" applyFont="1" applyBorder="1"/>
    <xf fontId="36" fillId="25" borderId="30" numFmtId="0" xfId="0" applyFont="1" applyFill="1" applyBorder="1" applyAlignment="1">
      <alignment horizontal="left" vertical="center" wrapText="1"/>
    </xf>
    <xf fontId="36" fillId="25" borderId="30" numFmtId="3" xfId="139" applyNumberFormat="1" applyFont="1" applyFill="1" applyBorder="1" applyAlignment="1">
      <alignment horizontal="center" vertical="center"/>
    </xf>
    <xf fontId="12" fillId="0" borderId="31" numFmtId="0" xfId="139" applyFont="1" applyBorder="1" applyAlignment="1">
      <alignment wrapText="1"/>
    </xf>
    <xf fontId="12" fillId="0" borderId="0" numFmtId="3" xfId="139" applyNumberFormat="1" applyFont="1"/>
    <xf fontId="33" fillId="0" borderId="0" numFmtId="0" xfId="139" applyFont="1"/>
    <xf fontId="33" fillId="0" borderId="32" numFmtId="0" xfId="139" applyFont="1" applyBorder="1"/>
    <xf fontId="33" fillId="0" borderId="33" numFmtId="0" xfId="139" applyFont="1" applyBorder="1"/>
    <xf fontId="35" fillId="25" borderId="33" numFmtId="0" xfId="168" applyFont="1" applyFill="1" applyBorder="1" applyAlignment="1">
      <alignment horizontal="left" wrapText="1"/>
    </xf>
    <xf fontId="35" fillId="25" borderId="33" numFmtId="3" xfId="139" applyNumberFormat="1" applyFont="1" applyFill="1" applyBorder="1" applyAlignment="1">
      <alignment horizontal="center"/>
    </xf>
    <xf fontId="33" fillId="0" borderId="34" numFmtId="0" xfId="139" applyFont="1" applyBorder="1"/>
    <xf fontId="33" fillId="0" borderId="0" numFmtId="3" xfId="139" applyNumberFormat="1" applyFont="1"/>
    <xf fontId="35" fillId="0" borderId="26" numFmtId="0" xfId="139" applyFont="1" applyBorder="1" applyAlignment="1">
      <alignment horizontal="left" vertical="top" wrapText="1"/>
    </xf>
    <xf fontId="35" fillId="0" borderId="27" numFmtId="49" xfId="139" applyNumberFormat="1" applyFont="1" applyBorder="1" applyAlignment="1">
      <alignment horizontal="left" vertical="top" wrapText="1"/>
    </xf>
    <xf fontId="35" fillId="0" borderId="27" numFmtId="0" xfId="139" applyFont="1" applyBorder="1" applyAlignment="1">
      <alignment horizontal="left" vertical="top" wrapText="1"/>
    </xf>
    <xf fontId="37" fillId="26" borderId="27" numFmtId="0" xfId="0" applyFont="1" applyFill="1" applyBorder="1" applyAlignment="1" applyProtection="1">
      <alignment horizontal="left" vertical="center" wrapText="1"/>
      <protection locked="0"/>
    </xf>
    <xf fontId="38" fillId="26" borderId="27" numFmtId="3" xfId="139" applyNumberFormat="1" applyFont="1" applyFill="1" applyBorder="1" applyAlignment="1">
      <alignment horizontal="center" vertical="center"/>
    </xf>
    <xf fontId="12" fillId="26" borderId="28" numFmtId="0" xfId="139" applyFont="1" applyFill="1" applyBorder="1"/>
    <xf fontId="35" fillId="0" borderId="21" numFmtId="0" xfId="139" applyFont="1" applyBorder="1" applyAlignment="1">
      <alignment horizontal="left" vertical="top" wrapText="1"/>
    </xf>
    <xf fontId="35" fillId="0" borderId="9" numFmtId="49" xfId="139" applyNumberFormat="1" applyFont="1" applyBorder="1" applyAlignment="1">
      <alignment horizontal="left" vertical="top" wrapText="1"/>
    </xf>
    <xf fontId="35" fillId="0" borderId="9" numFmtId="0" xfId="139" applyFont="1" applyBorder="1" applyAlignment="1">
      <alignment horizontal="left" vertical="top" wrapText="1"/>
    </xf>
    <xf fontId="12" fillId="25" borderId="9" numFmtId="49" xfId="173" applyNumberFormat="1" applyFont="1" applyFill="1" applyBorder="1" applyAlignment="1" applyProtection="1">
      <alignment horizontal="left" vertical="center" wrapText="1"/>
      <protection locked="0"/>
    </xf>
    <xf fontId="12" fillId="25" borderId="9" numFmtId="3" xfId="139" applyNumberFormat="1" applyFont="1" applyFill="1" applyBorder="1" applyAlignment="1">
      <alignment horizontal="center" vertical="center"/>
    </xf>
    <xf fontId="12" fillId="25" borderId="22" numFmtId="0" xfId="139" applyFont="1" applyFill="1" applyBorder="1" applyAlignment="1">
      <alignment vertical="center"/>
    </xf>
    <xf fontId="12" fillId="25" borderId="27" numFmtId="49" xfId="173" applyNumberFormat="1" applyFont="1" applyFill="1" applyBorder="1" applyAlignment="1" applyProtection="1">
      <alignment horizontal="left" vertical="center" wrapText="1"/>
      <protection locked="0"/>
    </xf>
    <xf fontId="12" fillId="25" borderId="30" numFmtId="49" xfId="173" applyNumberFormat="1" applyFont="1" applyFill="1" applyBorder="1" applyAlignment="1" applyProtection="1">
      <alignment horizontal="left" vertical="center" wrapText="1"/>
      <protection locked="0"/>
    </xf>
    <xf fontId="12" fillId="25" borderId="22" numFmtId="0" xfId="139" applyFont="1" applyFill="1" applyBorder="1" applyAlignment="1">
      <alignment vertical="center" wrapText="1"/>
    </xf>
    <xf fontId="12" fillId="25" borderId="9" numFmtId="49" xfId="173" applyNumberFormat="1" applyFont="1" applyFill="1" applyBorder="1" applyAlignment="1" applyProtection="1">
      <alignment vertical="center" wrapText="1"/>
      <protection locked="0"/>
    </xf>
    <xf fontId="12" fillId="26" borderId="28" numFmtId="0" xfId="139" applyFont="1" applyFill="1" applyBorder="1" applyAlignment="1">
      <alignment wrapText="1"/>
    </xf>
    <xf fontId="12" fillId="25" borderId="27" numFmtId="3" xfId="139" applyNumberFormat="1" applyFont="1" applyFill="1" applyBorder="1" applyAlignment="1">
      <alignment horizontal="center" vertical="center"/>
    </xf>
    <xf fontId="12" fillId="25" borderId="28" numFmtId="0" xfId="139" applyFont="1" applyFill="1" applyBorder="1" applyAlignment="1">
      <alignment vertical="center"/>
    </xf>
    <xf fontId="35" fillId="0" borderId="26" numFmtId="0" xfId="139" applyFont="1" applyBorder="1" applyAlignment="1">
      <alignment horizontal="center" vertical="top" wrapText="1"/>
    </xf>
    <xf fontId="35" fillId="0" borderId="27" numFmtId="49" xfId="139" applyNumberFormat="1" applyFont="1" applyBorder="1" applyAlignment="1">
      <alignment horizontal="center" vertical="top" wrapText="1"/>
    </xf>
    <xf fontId="35" fillId="0" borderId="27" numFmtId="0" xfId="139" applyFont="1" applyBorder="1" applyAlignment="1">
      <alignment horizontal="center" vertical="top" wrapText="1"/>
    </xf>
    <xf fontId="38" fillId="26" borderId="27" numFmtId="3" xfId="139" applyNumberFormat="1" applyFont="1" applyFill="1" applyBorder="1" applyAlignment="1">
      <alignment horizontal="center"/>
    </xf>
    <xf fontId="12" fillId="26" borderId="28" numFmtId="0" xfId="139" applyFont="1" applyFill="1" applyBorder="1" applyAlignment="1">
      <alignment vertical="center"/>
    </xf>
    <xf fontId="35" fillId="0" borderId="21" numFmtId="0" xfId="139" applyFont="1" applyBorder="1" applyAlignment="1">
      <alignment horizontal="center" vertical="top" wrapText="1"/>
    </xf>
    <xf fontId="35" fillId="0" borderId="9" numFmtId="0" xfId="139" applyFont="1" applyBorder="1" applyAlignment="1">
      <alignment horizontal="center" vertical="top" wrapText="1"/>
    </xf>
    <xf fontId="39" fillId="25" borderId="9" numFmtId="0" xfId="0" applyFont="1" applyFill="1" applyBorder="1" applyAlignment="1" applyProtection="1">
      <alignment horizontal="left" vertical="center" wrapText="1"/>
      <protection locked="0"/>
    </xf>
    <xf fontId="12" fillId="25" borderId="9" numFmtId="3" xfId="139" applyNumberFormat="1" applyFont="1" applyFill="1" applyBorder="1" applyAlignment="1">
      <alignment horizontal="center"/>
    </xf>
    <xf fontId="12" fillId="0" borderId="22" numFmtId="0" xfId="139" applyFont="1" applyBorder="1" applyAlignment="1">
      <alignment vertical="center"/>
    </xf>
    <xf fontId="12" fillId="0" borderId="0" numFmtId="2" xfId="139" applyNumberFormat="1" applyFont="1"/>
    <xf fontId="39" fillId="25" borderId="9" numFmtId="0" xfId="0" applyFont="1" applyFill="1" applyBorder="1" applyAlignment="1" applyProtection="1">
      <alignment vertical="center" wrapText="1"/>
      <protection locked="0"/>
    </xf>
    <xf fontId="12" fillId="0" borderId="22" numFmtId="0" xfId="139" applyFont="1" applyBorder="1" applyAlignment="1">
      <alignment vertical="center" wrapText="1"/>
    </xf>
    <xf fontId="35" fillId="25" borderId="35" numFmtId="0" xfId="168" applyFont="1" applyFill="1" applyBorder="1" applyAlignment="1">
      <alignment horizontal="left" wrapText="1"/>
    </xf>
    <xf fontId="35" fillId="0" borderId="15" numFmtId="0" xfId="139" applyFont="1" applyBorder="1" applyAlignment="1">
      <alignment horizontal="center" vertical="top" wrapText="1"/>
    </xf>
    <xf fontId="35" fillId="0" borderId="16" numFmtId="49" xfId="139" applyNumberFormat="1" applyFont="1" applyBorder="1" applyAlignment="1">
      <alignment horizontal="center" vertical="top" wrapText="1"/>
    </xf>
    <xf fontId="35" fillId="0" borderId="16" numFmtId="0" xfId="139" applyFont="1" applyBorder="1" applyAlignment="1">
      <alignment horizontal="center" vertical="top" wrapText="1"/>
    </xf>
    <xf fontId="35" fillId="0" borderId="36" numFmtId="0" xfId="139" applyFont="1" applyBorder="1" applyAlignment="1">
      <alignment horizontal="center" vertical="top" wrapText="1"/>
    </xf>
    <xf fontId="35" fillId="0" borderId="37" numFmtId="49" xfId="139" applyNumberFormat="1" applyFont="1" applyBorder="1" applyAlignment="1">
      <alignment horizontal="center" vertical="top" wrapText="1"/>
    </xf>
    <xf fontId="35" fillId="0" borderId="37" numFmtId="0" xfId="139" applyFont="1" applyBorder="1" applyAlignment="1">
      <alignment horizontal="center" vertical="top" wrapText="1"/>
    </xf>
    <xf fontId="12" fillId="0" borderId="22" numFmtId="0" xfId="139" applyFont="1" applyBorder="1"/>
    <xf fontId="12" fillId="25" borderId="22" numFmtId="0" xfId="139" applyFont="1" applyFill="1" applyBorder="1"/>
    <xf fontId="39" fillId="25" borderId="30" numFmtId="0" xfId="0" applyFont="1" applyFill="1" applyBorder="1" applyAlignment="1" applyProtection="1">
      <alignment horizontal="left" vertical="center" wrapText="1"/>
      <protection locked="0"/>
    </xf>
    <xf fontId="39" fillId="25" borderId="27" numFmtId="0" xfId="0" applyFont="1" applyFill="1" applyBorder="1" applyAlignment="1" applyProtection="1">
      <alignment horizontal="left" vertical="center" wrapText="1"/>
      <protection locked="0"/>
    </xf>
    <xf fontId="12" fillId="25" borderId="28" numFmtId="0" xfId="139" applyFont="1" applyFill="1" applyBorder="1"/>
    <xf fontId="12" fillId="25" borderId="22" numFmtId="0" xfId="139" applyFont="1" applyFill="1" applyBorder="1" applyAlignment="1">
      <alignment wrapText="1"/>
    </xf>
    <xf fontId="35" fillId="0" borderId="38" numFmtId="0" xfId="139" applyFont="1" applyBorder="1" applyAlignment="1">
      <alignment horizontal="center" vertical="top" wrapText="1"/>
    </xf>
    <xf fontId="35" fillId="0" borderId="35" numFmtId="49" xfId="139" applyNumberFormat="1" applyFont="1" applyBorder="1" applyAlignment="1">
      <alignment horizontal="center" vertical="top" wrapText="1"/>
    </xf>
    <xf fontId="35" fillId="0" borderId="35" numFmtId="0" xfId="139" applyFont="1" applyBorder="1" applyAlignment="1">
      <alignment horizontal="center" vertical="top" wrapText="1"/>
    </xf>
    <xf fontId="33" fillId="25" borderId="34" numFmtId="0" xfId="139" applyFont="1" applyFill="1" applyBorder="1"/>
    <xf fontId="39" fillId="25" borderId="37" numFmtId="0" xfId="0" applyFont="1" applyFill="1" applyBorder="1" applyAlignment="1" applyProtection="1">
      <alignment horizontal="left" vertical="center" wrapText="1"/>
      <protection locked="0"/>
    </xf>
    <xf fontId="12" fillId="25" borderId="30" numFmtId="3" xfId="139" applyNumberFormat="1" applyFont="1" applyFill="1" applyBorder="1" applyAlignment="1">
      <alignment horizontal="center"/>
    </xf>
    <xf fontId="12" fillId="25" borderId="31" numFmtId="0" xfId="139" applyFont="1" applyFill="1" applyBorder="1" applyAlignment="1">
      <alignment vertical="center"/>
    </xf>
    <xf fontId="12" fillId="25" borderId="31" numFmtId="0" xfId="139" applyFont="1" applyFill="1" applyBorder="1" applyAlignment="1">
      <alignment vertical="center" wrapText="1"/>
    </xf>
    <xf fontId="40" fillId="0" borderId="39" numFmtId="0" xfId="139" applyFont="1" applyBorder="1" applyAlignment="1">
      <alignment horizontal="center" vertical="center" wrapText="1"/>
    </xf>
    <xf fontId="40" fillId="0" borderId="40" numFmtId="0" xfId="139" applyFont="1" applyBorder="1" applyAlignment="1">
      <alignment horizontal="center" vertical="center" wrapText="1"/>
    </xf>
    <xf fontId="40" fillId="0" borderId="41" numFmtId="0" xfId="139" applyFont="1" applyBorder="1" applyAlignment="1">
      <alignment horizontal="center" vertical="center" wrapText="1"/>
    </xf>
    <xf fontId="41" fillId="25" borderId="9" numFmtId="0" xfId="0" applyFont="1" applyFill="1" applyBorder="1" applyAlignment="1" applyProtection="1">
      <alignment horizontal="left" vertical="center" wrapText="1"/>
      <protection locked="0"/>
    </xf>
    <xf fontId="42" fillId="25" borderId="9" numFmtId="3" xfId="139" applyNumberFormat="1" applyFont="1" applyFill="1" applyBorder="1" applyAlignment="1">
      <alignment horizontal="center"/>
    </xf>
    <xf fontId="42" fillId="25" borderId="9" numFmtId="0" xfId="139" applyFont="1" applyFill="1" applyBorder="1" applyAlignment="1">
      <alignment horizontal="left" vertical="center" wrapText="1"/>
    </xf>
    <xf fontId="40" fillId="0" borderId="42" numFmtId="0" xfId="139" applyFont="1" applyBorder="1" applyAlignment="1">
      <alignment horizontal="center" vertical="center" wrapText="1"/>
    </xf>
    <xf fontId="40" fillId="0" borderId="0" numFmtId="0" xfId="139" applyFont="1" applyAlignment="1">
      <alignment horizontal="center" vertical="center" wrapText="1"/>
    </xf>
    <xf fontId="40" fillId="0" borderId="12" numFmtId="0" xfId="139" applyFont="1" applyBorder="1" applyAlignment="1">
      <alignment horizontal="center" vertical="center" wrapText="1"/>
    </xf>
    <xf fontId="40" fillId="0" borderId="43" numFmtId="0" xfId="139" applyFont="1" applyBorder="1" applyAlignment="1">
      <alignment horizontal="center" vertical="center" wrapText="1"/>
    </xf>
    <xf fontId="40" fillId="0" borderId="44" numFmtId="0" xfId="139" applyFont="1" applyBorder="1" applyAlignment="1">
      <alignment horizontal="center" vertical="center" wrapText="1"/>
    </xf>
    <xf fontId="40" fillId="0" borderId="45" numFmtId="0" xfId="139" applyFont="1" applyBorder="1" applyAlignment="1">
      <alignment horizontal="center" vertical="center" wrapText="1"/>
    </xf>
    <xf fontId="42" fillId="0" borderId="0" numFmtId="0" xfId="139" applyFont="1" applyAlignment="1">
      <alignment horizontal="center"/>
    </xf>
    <xf fontId="42" fillId="0" borderId="0" numFmtId="0" xfId="139" applyFont="1"/>
  </cellXfs>
  <cellStyles count="207">
    <cellStyle name="_9 мес ДЭ ПФП ДПН на 2006г с разбивкой по кварталам от 28.02.06г" xfId="1"/>
    <cellStyle name="_Copy of ДРСК_1" xfId="2"/>
    <cellStyle name="_Ltre01Лесозав." xfId="3"/>
    <cellStyle name="_Macros_Borya" xfId="4"/>
    <cellStyle name="_авансы" xfId="5"/>
    <cellStyle name="_АРМ_БП_АО Сахэнерго 1" xfId="6"/>
    <cellStyle name="_АРМ_БП_АО Сахэнерго и ТЭП на 2006 г" xfId="7"/>
    <cellStyle name="_АРМ_БП_АО Сахэнерго под факт2004 г." xfId="8"/>
    <cellStyle name="_АРМ_БП_АО Сахэнерго утвержденный  Кср лик див" xfId="9"/>
    <cellStyle name="_АРМ_БП_АО-энерго_V41_обработан_06.05.2005" xfId="10"/>
    <cellStyle name="_Баланс  прогнозный 2 квартал" xfId="11"/>
    <cellStyle name="_Баланс 2005г прогнозный 2 квартал" xfId="12"/>
    <cellStyle name="_Дж.н. 10 мес. факт 2006 ожид ДФ" xfId="13"/>
    <cellStyle name="_ИП 17032006" xfId="14"/>
    <cellStyle name="_ИП СО 2006-2010 отпр 22 01 07" xfId="15"/>
    <cellStyle name="_Книга1" xfId="16"/>
    <cellStyle name="_Книга3" xfId="17"/>
    <cellStyle name="_Книга4" xfId="18"/>
    <cellStyle name="_Копия Прил 2(Показатели ИП)" xfId="19"/>
    <cellStyle name="_Корректировка инвестиц. программы по итогам 4 месяцев (2)" xfId="20"/>
    <cellStyle name="_Прил1-1 (МГИ) (Дубинину) 22 01 07" xfId="21"/>
    <cellStyle name="_Приложение 1 - ИПР 2010-2012 гг." xfId="22"/>
    <cellStyle name="_Приложение 1 - Формат инвестиционной программы 2010-2012 гг." xfId="23"/>
    <cellStyle name="_Приложение 1 - ЮЯ 2010-2012 гг." xfId="24"/>
    <cellStyle name="_Приложение 1 -инвестиционной программы 2010-2012 гг." xfId="25"/>
    <cellStyle name="_Приложение 1,2" xfId="26"/>
    <cellStyle name="_Приложение 7" xfId="27"/>
    <cellStyle name="_Приложение 7 доход расход слайды2 (1)" xfId="28"/>
    <cellStyle name="_Приложение 7 доход слайд" xfId="29"/>
    <cellStyle name="_Приложения по инвестициям на 2006г" xfId="30"/>
    <cellStyle name="_Приложения по инвестициям на 2006г корректировка" xfId="31"/>
    <cellStyle name="_Приложения по инвестициям на 2006г корректировка 08.09" xfId="32"/>
    <cellStyle name="_Приложения по инвестициям на 2006годминим" xfId="33"/>
    <cellStyle name="_Приложения по инвестициям на 2006годминим новая" xfId="34"/>
    <cellStyle name="_Программа СО 7-09 для СД от 29 марта" xfId="35"/>
    <cellStyle name="_птс- БП-2006 ОАО,СКК- 01.09.05" xfId="36"/>
    <cellStyle name="_ПФП_1_4кв._2006г" xfId="37"/>
    <cellStyle name="_ПФР 2005г" xfId="38"/>
    <cellStyle name="_Расшифровка по приоритетам_МРСК 2" xfId="39"/>
    <cellStyle name="_Ремонт 2006" xfId="40"/>
    <cellStyle name="_с фактом" xfId="41"/>
    <cellStyle name="_с фактом (1)" xfId="42"/>
    <cellStyle name="_СО 2006-2010  Прил1-1 (Дубинину)" xfId="43"/>
    <cellStyle name="_Сравнение Бюджета с РЭКом_16.11" xfId="44"/>
    <cellStyle name="_Сравнения от 09.05.06 г. поквартальные листы" xfId="45"/>
    <cellStyle name="_Табл П2-5 (вар18-10-2006)" xfId="46"/>
    <cellStyle name="_ТЭП" xfId="47"/>
    <cellStyle name="_Тэп ОАО Сахалинэнерго на 2006 года для совещания у Мясника" xfId="48"/>
    <cellStyle name="_ТЭП, баланс, ремонтная программа, инвестиции, ПУИ, расчет дивидендов" xfId="49"/>
    <cellStyle name="_форма_10_1" xfId="50"/>
    <cellStyle name="_форма_11_1" xfId="51"/>
    <cellStyle name="_форма_3_1" xfId="52"/>
    <cellStyle name="_форма_4_1" xfId="53"/>
    <cellStyle name="_форма_5_1" xfId="54"/>
    <cellStyle name="_Формы для ФАО за 9 мес.2006 г." xfId="55"/>
    <cellStyle name="_формы к 23.11.06 испр кредиты" xfId="56"/>
    <cellStyle name="_экслуатационные Сахэнерго 2005 корректировка" xfId="57"/>
    <cellStyle name="_Эксплуатационные для Е.Т. вредной но симпотишной" xfId="58"/>
    <cellStyle name="”€ќђќ‘ћ‚›‰" xfId="59"/>
    <cellStyle name="”€љ‘€ђћ‚ђќќ›‰" xfId="60"/>
    <cellStyle name="”ќђќ‘ћ‚›‰" xfId="61"/>
    <cellStyle name="”љ‘ђћ‚ђќќ›‰" xfId="62"/>
    <cellStyle name="„…ќ…†ќ›‰" xfId="63"/>
    <cellStyle name="„ђ’ђ" xfId="64"/>
    <cellStyle name="€’ћѓћ‚›‰" xfId="65"/>
    <cellStyle name="‡ђѓћ‹ћ‚ћљ1" xfId="66"/>
    <cellStyle name="‡ђѓћ‹ћ‚ћљ2" xfId="67"/>
    <cellStyle name="’ћѓћ‚›‰" xfId="68"/>
    <cellStyle name="1Normal" xfId="69"/>
    <cellStyle name="20% - Акцент1 2" xfId="70"/>
    <cellStyle name="20% - Акцент1 3" xfId="71"/>
    <cellStyle name="20% - Акцент2 2" xfId="72"/>
    <cellStyle name="20% - Акцент2 3" xfId="73"/>
    <cellStyle name="20% - Акцент3 2" xfId="74"/>
    <cellStyle name="20% - Акцент3 3" xfId="75"/>
    <cellStyle name="20% - Акцент4 2" xfId="76"/>
    <cellStyle name="20% - Акцент4 3" xfId="77"/>
    <cellStyle name="20% - Акцент5 2" xfId="78"/>
    <cellStyle name="20% - Акцент5 3" xfId="79"/>
    <cellStyle name="20% - Акцент6 2" xfId="80"/>
    <cellStyle name="20% - Акцент6 3" xfId="81"/>
    <cellStyle name="40% - Акцент1 2" xfId="82"/>
    <cellStyle name="40% - Акцент1 3" xfId="83"/>
    <cellStyle name="40% - Акцент2 2" xfId="84"/>
    <cellStyle name="40% - Акцент2 3" xfId="85"/>
    <cellStyle name="40% - Акцент3 2" xfId="86"/>
    <cellStyle name="40% - Акцент3 3" xfId="87"/>
    <cellStyle name="40% - Акцент4 2" xfId="88"/>
    <cellStyle name="40% - Акцент4 3" xfId="89"/>
    <cellStyle name="40% - Акцент5 2" xfId="90"/>
    <cellStyle name="40% - Акцент5 3" xfId="91"/>
    <cellStyle name="40% - Акцент6 2" xfId="92"/>
    <cellStyle name="40% - Акцент6 3" xfId="93"/>
    <cellStyle name="60% - Акцент1 2" xfId="94"/>
    <cellStyle name="60% - Акцент2 2" xfId="95"/>
    <cellStyle name="60% - Акцент3 2" xfId="96"/>
    <cellStyle name="60% - Акцент4 2" xfId="97"/>
    <cellStyle name="60% - Акцент5 2" xfId="98"/>
    <cellStyle name="60% - Акцент6 2" xfId="99"/>
    <cellStyle name="F2" xfId="100"/>
    <cellStyle name="F3" xfId="101"/>
    <cellStyle name="F4" xfId="102"/>
    <cellStyle name="F5" xfId="103"/>
    <cellStyle name="F6" xfId="104"/>
    <cellStyle name="F7" xfId="105"/>
    <cellStyle name="F8" xfId="106"/>
    <cellStyle name="Norma11l" xfId="107"/>
    <cellStyle name="Normal__2__Инвестпрограмма ЯЭ (2008-2013гг)кор2" xfId="108"/>
    <cellStyle name="Normal1" xfId="109"/>
    <cellStyle name="Price_Body" xfId="110"/>
    <cellStyle name="Акцент1 2" xfId="111"/>
    <cellStyle name="Акцент2 2" xfId="112"/>
    <cellStyle name="Акцент3 2" xfId="113"/>
    <cellStyle name="Акцент4 2" xfId="114"/>
    <cellStyle name="Акцент5 2" xfId="115"/>
    <cellStyle name="Акцент6 2" xfId="116"/>
    <cellStyle name="Беззащитный" xfId="117"/>
    <cellStyle name="Ввод  2" xfId="118"/>
    <cellStyle name="Вывод 2" xfId="119"/>
    <cellStyle name="Вычисление 2" xfId="120"/>
    <cellStyle name="Денежный 2" xfId="121"/>
    <cellStyle name="Заголовок 1 2" xfId="122"/>
    <cellStyle name="Заголовок 2 2" xfId="123"/>
    <cellStyle name="Заголовок 3 2" xfId="124"/>
    <cellStyle name="Заголовок 4 2" xfId="125"/>
    <cellStyle name="Защитный" xfId="126"/>
    <cellStyle name="Значение" xfId="127"/>
    <cellStyle name="Итог 2" xfId="128"/>
    <cellStyle name="Контрольная ячейка 2" xfId="129"/>
    <cellStyle name="Название 2" xfId="130"/>
    <cellStyle name="Нейтральный 2" xfId="131"/>
    <cellStyle name="Обычный" xfId="0" builtinId="0"/>
    <cellStyle name="Обычный 10" xfId="132"/>
    <cellStyle name="Обычный 12 2" xfId="133"/>
    <cellStyle name="Обычный 2" xfId="134"/>
    <cellStyle name="Обычный 2 2" xfId="135"/>
    <cellStyle name="Обычный 2 2 2" xfId="136"/>
    <cellStyle name="Обычный 2 3" xfId="137"/>
    <cellStyle name="Обычный 2_3 Выручка" xfId="138"/>
    <cellStyle name="Обычный 3" xfId="139"/>
    <cellStyle name="Обычный 3 2" xfId="140"/>
    <cellStyle name="Обычный 3 2 2 2" xfId="141"/>
    <cellStyle name="Обычный 3 3" xfId="142"/>
    <cellStyle name="Обычный 4" xfId="143"/>
    <cellStyle name="Обычный 4 2" xfId="144"/>
    <cellStyle name="Обычный 5" xfId="145"/>
    <cellStyle name="Обычный 5 2" xfId="146"/>
    <cellStyle name="Обычный 5 2 2" xfId="147"/>
    <cellStyle name="Обычный 5 2 3" xfId="148"/>
    <cellStyle name="Обычный 5 3" xfId="149"/>
    <cellStyle name="Обычный 6" xfId="150"/>
    <cellStyle name="Обычный 6 2" xfId="151"/>
    <cellStyle name="Обычный 6 2 2" xfId="152"/>
    <cellStyle name="Обычный 6 2 2 2" xfId="153"/>
    <cellStyle name="Обычный 6 2 2 2 2" xfId="154"/>
    <cellStyle name="Обычный 6 2 2 2 3" xfId="155"/>
    <cellStyle name="Обычный 6 2 2 3" xfId="156"/>
    <cellStyle name="Обычный 6 2 2 3 2" xfId="157"/>
    <cellStyle name="Обычный 6 2 2 4" xfId="158"/>
    <cellStyle name="Обычный 6 2 2 5" xfId="159"/>
    <cellStyle name="Обычный 6 2 2 6" xfId="160"/>
    <cellStyle name="Обычный 6 2 3" xfId="161"/>
    <cellStyle name="Обычный 6 2 4" xfId="162"/>
    <cellStyle name="Обычный 6 2 5" xfId="163"/>
    <cellStyle name="Обычный 6 3" xfId="164"/>
    <cellStyle name="Обычный 6 3 2" xfId="165"/>
    <cellStyle name="Обычный 6 4" xfId="166"/>
    <cellStyle name="Обычный 6 5" xfId="167"/>
    <cellStyle name="Обычный 7" xfId="168"/>
    <cellStyle name="Обычный 7 2" xfId="169"/>
    <cellStyle name="Обычный 8" xfId="170"/>
    <cellStyle name="Обычный 8 28" xfId="171"/>
    <cellStyle name="Обычный 9" xfId="172"/>
    <cellStyle name="Обычный_Инвестиции мониторинг_поставщики ОРЭ" xfId="173"/>
    <cellStyle name="Плохой 2" xfId="174"/>
    <cellStyle name="Поле ввода" xfId="175"/>
    <cellStyle name="Пояснение 2" xfId="176"/>
    <cellStyle name="Примечание 2" xfId="177"/>
    <cellStyle name="Примечание 3" xfId="178"/>
    <cellStyle name="Процентный 2" xfId="179"/>
    <cellStyle name="Процентный 3" xfId="180"/>
    <cellStyle name="Процентный 3 2" xfId="181"/>
    <cellStyle name="Процентный 4" xfId="182"/>
    <cellStyle name="Связанная ячейка 2" xfId="183"/>
    <cellStyle name="Стиль 1" xfId="184"/>
    <cellStyle name="Стиль 1 2" xfId="185"/>
    <cellStyle name="Текст предупреждения 2" xfId="186"/>
    <cellStyle name="Тысячи [0]_3Com" xfId="187"/>
    <cellStyle name="Тысячи_3Com" xfId="188"/>
    <cellStyle name="Финансовый 2" xfId="189"/>
    <cellStyle name="Финансовый 2 2" xfId="190"/>
    <cellStyle name="Финансовый 2 2 2" xfId="191"/>
    <cellStyle name="Финансовый 2 2 2 2 2" xfId="192"/>
    <cellStyle name="Финансовый 2 3" xfId="193"/>
    <cellStyle name="Финансовый 2 4" xfId="194"/>
    <cellStyle name="Финансовый 3" xfId="195"/>
    <cellStyle name="Финансовый 3 2" xfId="196"/>
    <cellStyle name="Финансовый 3 3" xfId="197"/>
    <cellStyle name="Финансовый 3 3 2" xfId="198"/>
    <cellStyle name="Финансовый 3 4" xfId="199"/>
    <cellStyle name="Финансовый 3 5" xfId="200"/>
    <cellStyle name="Финансовый 4" xfId="201"/>
    <cellStyle name="Финансовый 5" xfId="202"/>
    <cellStyle name="Финансовый 6" xfId="203"/>
    <cellStyle name="Формула" xfId="204"/>
    <cellStyle name="Хороший 2" xfId="205"/>
    <cellStyle name="Џђћ–…ќ’ќ›‰" xfId="2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1"/>
  </sheetPr>
  <sheetViews>
    <sheetView showZeros="0" view="pageBreakPreview" zoomScale="70" workbookViewId="0">
      <pane xSplit="2" ySplit="9" topLeftCell="C10" activePane="bottomRight" state="frozen"/>
      <selection activeCell="M9" activeCellId="0" sqref="M9"/>
    </sheetView>
  </sheetViews>
  <sheetFormatPr defaultColWidth="9" defaultRowHeight="15"/>
  <cols>
    <col customWidth="1" min="1" max="1" style="1" width="9"/>
    <col customWidth="1" min="2" max="2" style="1" width="36.375"/>
    <col customWidth="1" min="3" max="3" style="1" width="16.125"/>
    <col customWidth="1" min="4" max="4" style="1" width="38.25"/>
    <col customWidth="1" min="5" max="5" style="1" width="21"/>
    <col customWidth="1" min="6" max="6" style="2" width="75.375"/>
    <col customWidth="1" min="7" max="7" style="3" width="36.5"/>
    <col customWidth="1" min="8" max="8" style="1" width="37.75"/>
    <col min="9" max="10" style="1" width="9"/>
    <col customWidth="1" min="11" max="11" style="1" width="34.375"/>
    <col min="12" max="13" style="1" width="9"/>
    <col customWidth="1" min="14" max="14" style="1" width="27.375"/>
    <col min="15" max="40" style="1" width="9"/>
    <col customWidth="1" min="41" max="41" style="1" width="17.375"/>
    <col min="42" max="16384" style="1" width="9"/>
  </cols>
  <sheetData>
    <row r="1" ht="17.25">
      <c r="G1" s="4"/>
    </row>
    <row r="2" ht="32.25" customHeight="1">
      <c r="B2" s="5" t="s">
        <v>0</v>
      </c>
      <c r="C2" s="5"/>
      <c r="D2" s="5"/>
      <c r="E2" s="5"/>
      <c r="F2" s="5"/>
      <c r="G2" s="5"/>
      <c r="H2" s="5"/>
    </row>
    <row r="4" ht="16.5"/>
    <row r="5" ht="17.25">
      <c r="B5" s="6" t="s">
        <v>1</v>
      </c>
      <c r="C5" s="7"/>
      <c r="D5" s="7"/>
      <c r="E5" s="7"/>
      <c r="F5" s="7"/>
      <c r="G5" s="7"/>
      <c r="H5" s="8"/>
    </row>
    <row r="6" ht="17.25">
      <c r="B6" s="9" t="s">
        <v>2</v>
      </c>
      <c r="C6" s="10" t="s">
        <v>3</v>
      </c>
      <c r="D6" s="10" t="s">
        <v>4</v>
      </c>
      <c r="E6" s="10" t="s">
        <v>5</v>
      </c>
      <c r="F6" s="11" t="s">
        <v>6</v>
      </c>
      <c r="G6" s="11"/>
      <c r="H6" s="12"/>
    </row>
    <row r="7" ht="17.25">
      <c r="B7" s="13"/>
      <c r="C7" s="14"/>
      <c r="D7" s="14"/>
      <c r="E7" s="14"/>
      <c r="F7" s="15" t="s">
        <v>7</v>
      </c>
      <c r="G7" s="15" t="s">
        <v>8</v>
      </c>
      <c r="H7" s="16" t="s">
        <v>9</v>
      </c>
    </row>
    <row r="8" ht="17.25">
      <c r="B8" s="13"/>
      <c r="C8" s="14"/>
      <c r="D8" s="14"/>
      <c r="E8" s="14"/>
      <c r="F8" s="15"/>
      <c r="G8" s="15"/>
      <c r="H8" s="16"/>
    </row>
    <row r="9" ht="168" customHeight="1">
      <c r="B9" s="17"/>
      <c r="C9" s="18"/>
      <c r="D9" s="18"/>
      <c r="E9" s="18"/>
      <c r="F9" s="19"/>
      <c r="G9" s="19"/>
      <c r="H9" s="20"/>
      <c r="N9" s="21"/>
    </row>
    <row r="10" ht="17.25">
      <c r="B10" s="22">
        <v>1</v>
      </c>
      <c r="C10" s="23">
        <v>2</v>
      </c>
      <c r="D10" s="23">
        <v>3</v>
      </c>
      <c r="E10" s="23">
        <v>4</v>
      </c>
      <c r="F10" s="24">
        <v>5</v>
      </c>
      <c r="G10" s="25">
        <v>6</v>
      </c>
      <c r="H10" s="26">
        <v>7</v>
      </c>
    </row>
    <row r="11" ht="19.5">
      <c r="B11" s="27"/>
      <c r="C11" s="28"/>
      <c r="D11" s="28"/>
      <c r="E11" s="28"/>
      <c r="F11" s="29" t="s">
        <v>10</v>
      </c>
      <c r="G11" s="30">
        <f>G12+G155+G200+G245</f>
        <v>10761660.245234832</v>
      </c>
      <c r="H11" s="31" t="s">
        <v>11</v>
      </c>
      <c r="K11" s="32"/>
      <c r="N11" s="32"/>
    </row>
    <row r="12" s="33" customFormat="1" ht="17.25">
      <c r="B12" s="34"/>
      <c r="C12" s="35"/>
      <c r="D12" s="35"/>
      <c r="E12" s="35"/>
      <c r="F12" s="36" t="s">
        <v>12</v>
      </c>
      <c r="G12" s="37">
        <f>G13+G29+G68+G85+G106+G127+G144</f>
        <v>7551902.9729760969</v>
      </c>
      <c r="H12" s="38"/>
      <c r="N12" s="39"/>
    </row>
    <row r="13" ht="17.25">
      <c r="B13" s="40" t="s">
        <v>13</v>
      </c>
      <c r="C13" s="41" t="s">
        <v>14</v>
      </c>
      <c r="D13" s="42" t="s">
        <v>15</v>
      </c>
      <c r="E13" s="41" t="s">
        <v>16</v>
      </c>
      <c r="F13" s="43" t="s">
        <v>17</v>
      </c>
      <c r="G13" s="44">
        <f>SUM(G14:G28)</f>
        <v>171884.97380000004</v>
      </c>
      <c r="H13" s="45"/>
    </row>
    <row r="14">
      <c r="B14" s="46"/>
      <c r="C14" s="47"/>
      <c r="D14" s="48"/>
      <c r="E14" s="47"/>
      <c r="F14" s="49" t="s">
        <v>18</v>
      </c>
      <c r="G14" s="50">
        <f>2.398499248*1000</f>
        <v>2398.4992479999996</v>
      </c>
      <c r="H14" s="51" t="s">
        <v>19</v>
      </c>
    </row>
    <row r="15">
      <c r="B15" s="46"/>
      <c r="C15" s="47"/>
      <c r="D15" s="48"/>
      <c r="E15" s="47"/>
      <c r="F15" s="52" t="s">
        <v>20</v>
      </c>
      <c r="G15" s="50">
        <f>5.52*0.8*1000</f>
        <v>4415.9999999999991</v>
      </c>
      <c r="H15" s="51" t="s">
        <v>21</v>
      </c>
    </row>
    <row r="16" ht="30">
      <c r="B16" s="46"/>
      <c r="C16" s="47"/>
      <c r="D16" s="48"/>
      <c r="E16" s="47"/>
      <c r="F16" s="53" t="s">
        <v>22</v>
      </c>
      <c r="G16" s="50">
        <f>30.752121104*1000</f>
        <v>30752.121104000002</v>
      </c>
      <c r="H16" s="51" t="s">
        <v>19</v>
      </c>
    </row>
    <row r="17" ht="30">
      <c r="B17" s="46"/>
      <c r="C17" s="47"/>
      <c r="D17" s="48"/>
      <c r="E17" s="47"/>
      <c r="F17" s="49" t="s">
        <v>23</v>
      </c>
      <c r="G17" s="50">
        <f>7.37788776*1000*0.8</f>
        <v>5902.3102080000008</v>
      </c>
      <c r="H17" s="51" t="s">
        <v>21</v>
      </c>
    </row>
    <row r="18" ht="30">
      <c r="B18" s="46"/>
      <c r="C18" s="47"/>
      <c r="D18" s="48"/>
      <c r="E18" s="47"/>
      <c r="F18" s="49" t="s">
        <v>24</v>
      </c>
      <c r="G18" s="50">
        <f>3.047153264*1000</f>
        <v>3047.153264</v>
      </c>
      <c r="H18" s="51" t="s">
        <v>19</v>
      </c>
    </row>
    <row r="19" ht="30">
      <c r="B19" s="46"/>
      <c r="C19" s="47"/>
      <c r="D19" s="48"/>
      <c r="E19" s="47"/>
      <c r="F19" s="49" t="s">
        <v>25</v>
      </c>
      <c r="G19" s="50">
        <f>10.0157222*1000</f>
        <v>10015.7222</v>
      </c>
      <c r="H19" s="51" t="s">
        <v>19</v>
      </c>
    </row>
    <row r="20" ht="30">
      <c r="B20" s="46"/>
      <c r="C20" s="47"/>
      <c r="D20" s="48"/>
      <c r="E20" s="47"/>
      <c r="F20" s="49" t="s">
        <v>26</v>
      </c>
      <c r="G20" s="50">
        <f>11.26422*1000*0.8</f>
        <v>9011.3760000000002</v>
      </c>
      <c r="H20" s="51" t="s">
        <v>21</v>
      </c>
    </row>
    <row r="21" ht="30">
      <c r="B21" s="46"/>
      <c r="C21" s="47"/>
      <c r="D21" s="48"/>
      <c r="E21" s="47"/>
      <c r="F21" s="49" t="s">
        <v>27</v>
      </c>
      <c r="G21" s="50">
        <f>0.143179136*1000</f>
        <v>143.179136</v>
      </c>
      <c r="H21" s="51" t="s">
        <v>19</v>
      </c>
    </row>
    <row r="22" ht="45">
      <c r="B22" s="46"/>
      <c r="C22" s="47"/>
      <c r="D22" s="48"/>
      <c r="E22" s="47"/>
      <c r="F22" s="52" t="s">
        <v>28</v>
      </c>
      <c r="G22" s="50">
        <f>0.298569504*1000</f>
        <v>298.56950399999999</v>
      </c>
      <c r="H22" s="51" t="s">
        <v>19</v>
      </c>
    </row>
    <row r="23" ht="30">
      <c r="B23" s="46"/>
      <c r="C23" s="47"/>
      <c r="D23" s="48"/>
      <c r="E23" s="47"/>
      <c r="F23" s="52" t="s">
        <v>29</v>
      </c>
      <c r="G23" s="50">
        <f>20.830123176*1000</f>
        <v>20830.123176000001</v>
      </c>
      <c r="H23" s="51" t="s">
        <v>19</v>
      </c>
    </row>
    <row r="24">
      <c r="B24" s="46"/>
      <c r="C24" s="47"/>
      <c r="D24" s="48"/>
      <c r="E24" s="47"/>
      <c r="F24" s="52" t="s">
        <v>30</v>
      </c>
      <c r="G24" s="50">
        <f>-0.28403869*1000*0.8</f>
        <v>-227.230952</v>
      </c>
      <c r="H24" s="51" t="s">
        <v>21</v>
      </c>
    </row>
    <row r="25" ht="30">
      <c r="B25" s="46"/>
      <c r="C25" s="47"/>
      <c r="D25" s="48"/>
      <c r="E25" s="47"/>
      <c r="F25" s="52" t="s">
        <v>31</v>
      </c>
      <c r="G25" s="50">
        <f>0.083580608*1000</f>
        <v>83.580607999999998</v>
      </c>
      <c r="H25" s="51" t="s">
        <v>19</v>
      </c>
    </row>
    <row r="26" ht="45">
      <c r="B26" s="46"/>
      <c r="C26" s="47"/>
      <c r="D26" s="48"/>
      <c r="E26" s="47"/>
      <c r="F26" s="52" t="s">
        <v>32</v>
      </c>
      <c r="G26" s="50">
        <f>2.384*1000</f>
        <v>2384</v>
      </c>
      <c r="H26" s="51" t="s">
        <v>19</v>
      </c>
    </row>
    <row r="27">
      <c r="B27" s="46"/>
      <c r="C27" s="47"/>
      <c r="D27" s="48"/>
      <c r="E27" s="47"/>
      <c r="F27" s="52" t="s">
        <v>33</v>
      </c>
      <c r="G27" s="50">
        <f>77.912034168*1000</f>
        <v>77912.034167999998</v>
      </c>
      <c r="H27" s="51" t="s">
        <v>19</v>
      </c>
    </row>
    <row r="28">
      <c r="B28" s="46"/>
      <c r="C28" s="47"/>
      <c r="D28" s="48"/>
      <c r="E28" s="47"/>
      <c r="F28" s="52" t="s">
        <v>34</v>
      </c>
      <c r="G28" s="50">
        <f>6.14692017*1000*0.8</f>
        <v>4917.5361359999997</v>
      </c>
      <c r="H28" s="54" t="s">
        <v>35</v>
      </c>
    </row>
    <row r="29" ht="17.25">
      <c r="B29" s="46"/>
      <c r="C29" s="47"/>
      <c r="D29" s="48"/>
      <c r="E29" s="47"/>
      <c r="F29" s="43" t="s">
        <v>36</v>
      </c>
      <c r="G29" s="44">
        <f>SUM(G30:G67)</f>
        <v>5197854.5551940007</v>
      </c>
      <c r="H29" s="45"/>
    </row>
    <row r="30">
      <c r="B30" s="46"/>
      <c r="C30" s="47"/>
      <c r="D30" s="48"/>
      <c r="E30" s="47"/>
      <c r="F30" s="49" t="s">
        <v>37</v>
      </c>
      <c r="G30" s="50">
        <f>1000*15.477221872</f>
        <v>15477.221872</v>
      </c>
      <c r="H30" s="51" t="s">
        <v>19</v>
      </c>
    </row>
    <row r="31">
      <c r="B31" s="46"/>
      <c r="C31" s="47"/>
      <c r="D31" s="48"/>
      <c r="E31" s="47"/>
      <c r="F31" s="49" t="s">
        <v>38</v>
      </c>
      <c r="G31" s="50">
        <f>1000*23.04009018</f>
        <v>23040.090179999999</v>
      </c>
      <c r="H31" s="51" t="s">
        <v>19</v>
      </c>
    </row>
    <row r="32">
      <c r="B32" s="46"/>
      <c r="C32" s="47"/>
      <c r="D32" s="48"/>
      <c r="E32" s="47"/>
      <c r="F32" s="49" t="s">
        <v>39</v>
      </c>
      <c r="G32" s="50">
        <f>1000*0.822159083</f>
        <v>822.15908300000001</v>
      </c>
      <c r="H32" s="51" t="s">
        <v>19</v>
      </c>
      <c r="K32" s="32"/>
    </row>
    <row r="33">
      <c r="B33" s="46"/>
      <c r="C33" s="47"/>
      <c r="D33" s="48"/>
      <c r="E33" s="47"/>
      <c r="F33" s="49" t="s">
        <v>40</v>
      </c>
      <c r="G33" s="50">
        <f>1000*0.1581367795</f>
        <v>158.13677949999999</v>
      </c>
      <c r="H33" s="51" t="s">
        <v>19</v>
      </c>
    </row>
    <row r="34" ht="30">
      <c r="B34" s="46"/>
      <c r="C34" s="47"/>
      <c r="D34" s="48"/>
      <c r="E34" s="47"/>
      <c r="F34" s="49" t="s">
        <v>41</v>
      </c>
      <c r="G34" s="50">
        <f>1000*59.252566462</f>
        <v>59252.566461999995</v>
      </c>
      <c r="H34" s="51" t="s">
        <v>19</v>
      </c>
    </row>
    <row r="35" ht="30">
      <c r="B35" s="46"/>
      <c r="C35" s="47"/>
      <c r="D35" s="48"/>
      <c r="E35" s="47"/>
      <c r="F35" s="49" t="s">
        <v>42</v>
      </c>
      <c r="G35" s="50">
        <f>32.9767692*0.85*1000</f>
        <v>28030.253819999998</v>
      </c>
      <c r="H35" s="51" t="s">
        <v>21</v>
      </c>
    </row>
    <row r="36" ht="30">
      <c r="B36" s="46"/>
      <c r="C36" s="47"/>
      <c r="D36" s="48"/>
      <c r="E36" s="47"/>
      <c r="F36" s="49" t="s">
        <v>43</v>
      </c>
      <c r="G36" s="50">
        <f>1000*-3.5282222535</f>
        <v>-3528.2222535000001</v>
      </c>
      <c r="H36" s="51" t="s">
        <v>19</v>
      </c>
    </row>
    <row r="37" ht="30">
      <c r="B37" s="46"/>
      <c r="C37" s="47"/>
      <c r="D37" s="48"/>
      <c r="E37" s="47"/>
      <c r="F37" s="49" t="s">
        <v>44</v>
      </c>
      <c r="G37" s="50">
        <f>82.03712729*0.85*1000</f>
        <v>69731.558196500002</v>
      </c>
      <c r="H37" s="51" t="s">
        <v>21</v>
      </c>
      <c r="K37" s="32"/>
    </row>
    <row r="38" ht="30">
      <c r="B38" s="46"/>
      <c r="C38" s="47"/>
      <c r="D38" s="48"/>
      <c r="E38" s="47"/>
      <c r="F38" s="49" t="s">
        <v>45</v>
      </c>
      <c r="G38" s="50">
        <f>1000*0.85*33.0064056</f>
        <v>28055.444760000002</v>
      </c>
      <c r="H38" s="51" t="s">
        <v>21</v>
      </c>
    </row>
    <row r="39">
      <c r="B39" s="46"/>
      <c r="C39" s="47"/>
      <c r="D39" s="48"/>
      <c r="E39" s="47"/>
      <c r="F39" s="49" t="s">
        <v>46</v>
      </c>
      <c r="G39" s="50">
        <f>1000*0.85*84.00140712</f>
        <v>71401.196051999999</v>
      </c>
      <c r="H39" s="51" t="s">
        <v>21</v>
      </c>
      <c r="K39" s="32"/>
    </row>
    <row r="40" ht="30">
      <c r="B40" s="46"/>
      <c r="C40" s="47"/>
      <c r="D40" s="48"/>
      <c r="E40" s="47"/>
      <c r="F40" s="49" t="s">
        <v>47</v>
      </c>
      <c r="G40" s="50">
        <f>1000*0.85*8.4838572</f>
        <v>7211.2786199999991</v>
      </c>
      <c r="H40" s="51" t="s">
        <v>21</v>
      </c>
    </row>
    <row r="41" ht="45">
      <c r="B41" s="46"/>
      <c r="C41" s="47"/>
      <c r="D41" s="48"/>
      <c r="E41" s="47"/>
      <c r="F41" s="49" t="s">
        <v>48</v>
      </c>
      <c r="G41" s="50">
        <f>1000*0.85*18.945</f>
        <v>16103.25</v>
      </c>
      <c r="H41" s="51" t="s">
        <v>21</v>
      </c>
      <c r="K41" s="32"/>
    </row>
    <row r="42" ht="30">
      <c r="B42" s="46"/>
      <c r="C42" s="47"/>
      <c r="D42" s="48"/>
      <c r="E42" s="47"/>
      <c r="F42" s="49" t="s">
        <v>49</v>
      </c>
      <c r="G42" s="50">
        <f>1000*0.85*3.1132782</f>
        <v>2646.28647</v>
      </c>
      <c r="H42" s="51" t="s">
        <v>21</v>
      </c>
    </row>
    <row r="43" ht="45">
      <c r="B43" s="46"/>
      <c r="C43" s="47"/>
      <c r="D43" s="48"/>
      <c r="E43" s="47"/>
      <c r="F43" s="49" t="s">
        <v>50</v>
      </c>
      <c r="G43" s="50">
        <f>0.5611*1000*0.85</f>
        <v>476.935</v>
      </c>
      <c r="H43" s="51" t="s">
        <v>21</v>
      </c>
    </row>
    <row r="44" ht="21" customHeight="1">
      <c r="B44" s="46"/>
      <c r="C44" s="47"/>
      <c r="D44" s="48"/>
      <c r="E44" s="47"/>
      <c r="F44" s="53" t="s">
        <v>51</v>
      </c>
      <c r="G44" s="50">
        <f>0.1429678495*1000</f>
        <v>142.9678495</v>
      </c>
      <c r="H44" s="51" t="s">
        <v>19</v>
      </c>
    </row>
    <row r="45" ht="21" customHeight="1">
      <c r="B45" s="46"/>
      <c r="C45" s="47"/>
      <c r="D45" s="48"/>
      <c r="E45" s="47"/>
      <c r="F45" s="52"/>
      <c r="G45" s="50">
        <f>0.59508*1000*0.85</f>
        <v>505.81800000000004</v>
      </c>
      <c r="H45" s="51" t="s">
        <v>21</v>
      </c>
    </row>
    <row r="46" ht="30">
      <c r="B46" s="46"/>
      <c r="C46" s="47"/>
      <c r="D46" s="48"/>
      <c r="E46" s="47"/>
      <c r="F46" s="49" t="s">
        <v>52</v>
      </c>
      <c r="G46" s="50">
        <f>1000*0.0527448205</f>
        <v>52.744820499999996</v>
      </c>
      <c r="H46" s="51" t="s">
        <v>19</v>
      </c>
    </row>
    <row r="47" ht="30">
      <c r="B47" s="46"/>
      <c r="C47" s="47"/>
      <c r="D47" s="48"/>
      <c r="E47" s="47"/>
      <c r="F47" s="49" t="s">
        <v>53</v>
      </c>
      <c r="G47" s="50">
        <f>1000*0.008111108</f>
        <v>8.1111079999999998</v>
      </c>
      <c r="H47" s="51" t="s">
        <v>19</v>
      </c>
    </row>
    <row r="48">
      <c r="B48" s="46"/>
      <c r="C48" s="47"/>
      <c r="D48" s="48"/>
      <c r="E48" s="47"/>
      <c r="F48" s="53" t="s">
        <v>54</v>
      </c>
      <c r="G48" s="50">
        <f>1000*128.4962342805</f>
        <v>128496.23428050001</v>
      </c>
      <c r="H48" s="51" t="s">
        <v>19</v>
      </c>
    </row>
    <row r="49">
      <c r="B49" s="46"/>
      <c r="C49" s="47"/>
      <c r="D49" s="48"/>
      <c r="E49" s="47"/>
      <c r="F49" s="52"/>
      <c r="G49" s="50">
        <f>-145.07704033*1000*0.85</f>
        <v>-123315.48428049999</v>
      </c>
      <c r="H49" s="54" t="s">
        <v>55</v>
      </c>
    </row>
    <row r="50">
      <c r="B50" s="46"/>
      <c r="C50" s="47"/>
      <c r="D50" s="48"/>
      <c r="E50" s="47"/>
      <c r="F50" s="53" t="s">
        <v>56</v>
      </c>
      <c r="G50" s="50">
        <f>1000*29.13835552</f>
        <v>29138.355520000001</v>
      </c>
      <c r="H50" s="51" t="s">
        <v>19</v>
      </c>
    </row>
    <row r="51">
      <c r="B51" s="46"/>
      <c r="C51" s="47"/>
      <c r="D51" s="48"/>
      <c r="E51" s="47"/>
      <c r="F51" s="52"/>
      <c r="G51" s="50">
        <f>101.45786868*1000*0.85</f>
        <v>86239.188377999992</v>
      </c>
      <c r="H51" s="51" t="s">
        <v>21</v>
      </c>
    </row>
    <row r="52">
      <c r="B52" s="46"/>
      <c r="C52" s="47"/>
      <c r="D52" s="48"/>
      <c r="E52" s="47"/>
      <c r="F52" s="53" t="s">
        <v>57</v>
      </c>
      <c r="G52" s="50">
        <f>1000*95.91645621</f>
        <v>95916.456210000004</v>
      </c>
      <c r="H52" s="51" t="s">
        <v>19</v>
      </c>
    </row>
    <row r="53">
      <c r="B53" s="46"/>
      <c r="C53" s="47"/>
      <c r="D53" s="48"/>
      <c r="E53" s="47"/>
      <c r="F53" s="52"/>
      <c r="G53" s="50">
        <f>5019.29309682*1000*0.85</f>
        <v>4266399.1322969999</v>
      </c>
      <c r="H53" s="51" t="s">
        <v>21</v>
      </c>
    </row>
    <row r="54" ht="30">
      <c r="B54" s="46"/>
      <c r="C54" s="47"/>
      <c r="D54" s="48"/>
      <c r="E54" s="47"/>
      <c r="F54" s="52" t="s">
        <v>58</v>
      </c>
      <c r="G54" s="50">
        <f>-3.86295728*1000*0.85</f>
        <v>-3283.5136879999995</v>
      </c>
      <c r="H54" s="51" t="s">
        <v>21</v>
      </c>
    </row>
    <row r="55">
      <c r="B55" s="46"/>
      <c r="C55" s="47"/>
      <c r="D55" s="48"/>
      <c r="E55" s="47"/>
      <c r="F55" s="53" t="s">
        <v>59</v>
      </c>
      <c r="G55" s="50">
        <f>3.0231477825*1000</f>
        <v>3023.1477825000002</v>
      </c>
      <c r="H55" s="51" t="s">
        <v>19</v>
      </c>
    </row>
    <row r="56">
      <c r="B56" s="46"/>
      <c r="C56" s="47"/>
      <c r="D56" s="48"/>
      <c r="E56" s="47"/>
      <c r="F56" s="52"/>
      <c r="G56" s="50">
        <f>238.51772532*1000*0.85</f>
        <v>202740.06652199998</v>
      </c>
      <c r="H56" s="51" t="s">
        <v>21</v>
      </c>
    </row>
    <row r="57" ht="30">
      <c r="B57" s="46"/>
      <c r="C57" s="47"/>
      <c r="D57" s="48"/>
      <c r="E57" s="47"/>
      <c r="F57" s="52" t="s">
        <v>60</v>
      </c>
      <c r="G57" s="50">
        <f>2.89516484*1000*0.85</f>
        <v>2460.8901139999998</v>
      </c>
      <c r="H57" s="51" t="s">
        <v>21</v>
      </c>
    </row>
    <row r="58" ht="30">
      <c r="B58" s="46"/>
      <c r="C58" s="47"/>
      <c r="D58" s="48"/>
      <c r="E58" s="47"/>
      <c r="F58" s="52" t="s">
        <v>61</v>
      </c>
      <c r="G58" s="50">
        <f>1000*0.0173614115</f>
        <v>17.361411499999999</v>
      </c>
      <c r="H58" s="51" t="s">
        <v>19</v>
      </c>
    </row>
    <row r="59" ht="60">
      <c r="B59" s="46"/>
      <c r="C59" s="47"/>
      <c r="D59" s="48"/>
      <c r="E59" s="47"/>
      <c r="F59" s="52" t="s">
        <v>62</v>
      </c>
      <c r="G59" s="50">
        <f>1000*42.4</f>
        <v>42400</v>
      </c>
      <c r="H59" s="51" t="s">
        <v>19</v>
      </c>
    </row>
    <row r="60" ht="45">
      <c r="B60" s="46"/>
      <c r="C60" s="47"/>
      <c r="D60" s="48"/>
      <c r="E60" s="47"/>
      <c r="F60" s="52" t="s">
        <v>63</v>
      </c>
      <c r="G60" s="50">
        <f>28.9778856*1000*0.85</f>
        <v>24631.20276</v>
      </c>
      <c r="H60" s="51" t="s">
        <v>21</v>
      </c>
    </row>
    <row r="61" ht="30">
      <c r="B61" s="46"/>
      <c r="C61" s="47"/>
      <c r="D61" s="48"/>
      <c r="E61" s="47"/>
      <c r="F61" s="52" t="s">
        <v>64</v>
      </c>
      <c r="G61" s="50">
        <f>21.6662304*1000*0.85</f>
        <v>18416.295839999999</v>
      </c>
      <c r="H61" s="51" t="s">
        <v>21</v>
      </c>
    </row>
    <row r="62" ht="30">
      <c r="B62" s="46"/>
      <c r="C62" s="47"/>
      <c r="D62" s="48"/>
      <c r="E62" s="47"/>
      <c r="F62" s="52" t="s">
        <v>65</v>
      </c>
      <c r="G62" s="50">
        <f>1000*0.85*5.81730256</f>
        <v>4944.7071759999999</v>
      </c>
      <c r="H62" s="51" t="s">
        <v>21</v>
      </c>
    </row>
    <row r="63" ht="45">
      <c r="B63" s="46"/>
      <c r="C63" s="47"/>
      <c r="D63" s="48"/>
      <c r="E63" s="47"/>
      <c r="F63" s="52" t="s">
        <v>66</v>
      </c>
      <c r="G63" s="50">
        <f>1.42311066*1000*0.85</f>
        <v>1209.644061</v>
      </c>
      <c r="H63" s="51" t="s">
        <v>21</v>
      </c>
    </row>
    <row r="64">
      <c r="B64" s="46"/>
      <c r="C64" s="47"/>
      <c r="D64" s="48"/>
      <c r="E64" s="47"/>
      <c r="F64" s="53" t="s">
        <v>67</v>
      </c>
      <c r="G64" s="50">
        <f>16.393116878*1000</f>
        <v>16393.116878000001</v>
      </c>
      <c r="H64" s="51" t="s">
        <v>19</v>
      </c>
    </row>
    <row r="65">
      <c r="B65" s="46"/>
      <c r="C65" s="47"/>
      <c r="D65" s="48"/>
      <c r="E65" s="47"/>
      <c r="F65" s="52"/>
      <c r="G65" s="50">
        <f>39.02326977*1000*0.85</f>
        <v>33169.7793045</v>
      </c>
      <c r="H65" s="51" t="s">
        <v>68</v>
      </c>
    </row>
    <row r="66">
      <c r="B66" s="46"/>
      <c r="C66" s="47"/>
      <c r="D66" s="48"/>
      <c r="E66" s="47"/>
      <c r="F66" s="52" t="s">
        <v>69</v>
      </c>
      <c r="G66" s="50">
        <v>18922.550808000004</v>
      </c>
      <c r="H66" s="54" t="s">
        <v>35</v>
      </c>
    </row>
    <row r="67">
      <c r="B67" s="46"/>
      <c r="C67" s="47"/>
      <c r="D67" s="48"/>
      <c r="E67" s="47"/>
      <c r="F67" s="49" t="s">
        <v>70</v>
      </c>
      <c r="G67" s="50">
        <f>30.347627*1000</f>
        <v>30347.627</v>
      </c>
      <c r="H67" s="54" t="s">
        <v>68</v>
      </c>
    </row>
    <row r="68" ht="18.75">
      <c r="B68" s="46"/>
      <c r="C68" s="47"/>
      <c r="D68" s="48"/>
      <c r="E68" s="47"/>
      <c r="F68" s="43" t="s">
        <v>71</v>
      </c>
      <c r="G68" s="44">
        <f>SUM(G69:G84)</f>
        <v>115979.2750235</v>
      </c>
      <c r="H68" s="45"/>
    </row>
    <row r="69">
      <c r="B69" s="46"/>
      <c r="C69" s="47"/>
      <c r="D69" s="48"/>
      <c r="E69" s="47"/>
      <c r="F69" s="49" t="s">
        <v>72</v>
      </c>
      <c r="G69" s="50">
        <f>1000*0.006731031</f>
        <v>6.7310309999999998</v>
      </c>
      <c r="H69" s="51" t="s">
        <v>19</v>
      </c>
    </row>
    <row r="70">
      <c r="B70" s="46"/>
      <c r="C70" s="47"/>
      <c r="D70" s="48"/>
      <c r="E70" s="47"/>
      <c r="F70" s="49" t="s">
        <v>73</v>
      </c>
      <c r="G70" s="50">
        <f>1000*0.3823317</f>
        <v>382.33170000000001</v>
      </c>
      <c r="H70" s="51" t="s">
        <v>19</v>
      </c>
    </row>
    <row r="71" ht="31.5">
      <c r="B71" s="46"/>
      <c r="C71" s="47"/>
      <c r="D71" s="48"/>
      <c r="E71" s="47"/>
      <c r="F71" s="49" t="s">
        <v>74</v>
      </c>
      <c r="G71" s="50">
        <f>1000*1.1459985685</f>
        <v>1145.9985685000001</v>
      </c>
      <c r="H71" s="51" t="s">
        <v>19</v>
      </c>
    </row>
    <row r="72" ht="31.5">
      <c r="B72" s="46"/>
      <c r="C72" s="47"/>
      <c r="D72" s="48"/>
      <c r="E72" s="47"/>
      <c r="F72" s="49" t="s">
        <v>75</v>
      </c>
      <c r="G72" s="50">
        <f>1000*1.109314158</f>
        <v>1109.3141580000001</v>
      </c>
      <c r="H72" s="51" t="s">
        <v>19</v>
      </c>
    </row>
    <row r="73" ht="31.5">
      <c r="B73" s="46"/>
      <c r="C73" s="47"/>
      <c r="D73" s="48"/>
      <c r="E73" s="47"/>
      <c r="F73" s="49" t="s">
        <v>76</v>
      </c>
      <c r="G73" s="50">
        <f>1000*0.673235054</f>
        <v>673.2350540000001</v>
      </c>
      <c r="H73" s="51" t="s">
        <v>19</v>
      </c>
    </row>
    <row r="74" ht="31.5">
      <c r="B74" s="46"/>
      <c r="C74" s="47"/>
      <c r="D74" s="48"/>
      <c r="E74" s="47"/>
      <c r="F74" s="49" t="s">
        <v>77</v>
      </c>
      <c r="G74" s="50">
        <f>1000*0.108550355</f>
        <v>108.550355</v>
      </c>
      <c r="H74" s="51" t="s">
        <v>19</v>
      </c>
    </row>
    <row r="75" ht="30" customHeight="1">
      <c r="B75" s="46"/>
      <c r="C75" s="47"/>
      <c r="D75" s="48"/>
      <c r="E75" s="47"/>
      <c r="F75" s="49" t="s">
        <v>78</v>
      </c>
      <c r="G75" s="50">
        <f>1000*1.946815996</f>
        <v>1946.815996</v>
      </c>
      <c r="H75" s="51" t="s">
        <v>19</v>
      </c>
    </row>
    <row r="76" ht="31.5" customHeight="1">
      <c r="B76" s="46"/>
      <c r="C76" s="47"/>
      <c r="D76" s="48"/>
      <c r="E76" s="47"/>
      <c r="F76" s="49" t="s">
        <v>79</v>
      </c>
      <c r="G76" s="50">
        <f>1000*72.4484425725</f>
        <v>72448.442572500004</v>
      </c>
      <c r="H76" s="51" t="s">
        <v>19</v>
      </c>
    </row>
    <row r="77" ht="31.5">
      <c r="B77" s="46"/>
      <c r="C77" s="47"/>
      <c r="D77" s="48"/>
      <c r="E77" s="47"/>
      <c r="F77" s="49" t="s">
        <v>80</v>
      </c>
      <c r="G77" s="50">
        <f>1000*0.424774869</f>
        <v>424.77486900000002</v>
      </c>
      <c r="H77" s="51" t="s">
        <v>19</v>
      </c>
    </row>
    <row r="78" ht="31.5">
      <c r="B78" s="46"/>
      <c r="C78" s="47"/>
      <c r="D78" s="48"/>
      <c r="E78" s="47"/>
      <c r="F78" s="49" t="s">
        <v>81</v>
      </c>
      <c r="G78" s="50">
        <f>1000*1.835407057</f>
        <v>1835.4070570000001</v>
      </c>
      <c r="H78" s="51" t="s">
        <v>19</v>
      </c>
    </row>
    <row r="79">
      <c r="B79" s="46"/>
      <c r="C79" s="47"/>
      <c r="D79" s="48"/>
      <c r="E79" s="47"/>
      <c r="F79" s="49" t="s">
        <v>82</v>
      </c>
      <c r="G79" s="50">
        <f>1000*3.74</f>
        <v>3740</v>
      </c>
      <c r="H79" s="51" t="s">
        <v>19</v>
      </c>
      <c r="K79" s="21"/>
    </row>
    <row r="80" ht="31.5">
      <c r="B80" s="46"/>
      <c r="C80" s="47"/>
      <c r="D80" s="48"/>
      <c r="E80" s="47"/>
      <c r="F80" s="49" t="s">
        <v>83</v>
      </c>
      <c r="G80" s="50">
        <f>1000*3.5582271005</f>
        <v>3558.2271004999998</v>
      </c>
      <c r="H80" s="51" t="s">
        <v>19</v>
      </c>
      <c r="K80" s="21"/>
    </row>
    <row r="81" ht="31.5">
      <c r="B81" s="46"/>
      <c r="C81" s="47"/>
      <c r="D81" s="48"/>
      <c r="E81" s="47"/>
      <c r="F81" s="49" t="s">
        <v>84</v>
      </c>
      <c r="G81" s="50">
        <f>1000*3.315</f>
        <v>3315</v>
      </c>
      <c r="H81" s="51" t="s">
        <v>19</v>
      </c>
    </row>
    <row r="82">
      <c r="B82" s="46"/>
      <c r="C82" s="47"/>
      <c r="D82" s="48"/>
      <c r="E82" s="47"/>
      <c r="F82" s="49" t="s">
        <v>85</v>
      </c>
      <c r="G82" s="50">
        <f>3.09*1000*0.85</f>
        <v>2626.5</v>
      </c>
      <c r="H82" s="51" t="s">
        <v>68</v>
      </c>
    </row>
    <row r="83">
      <c r="B83" s="46"/>
      <c r="C83" s="47"/>
      <c r="D83" s="48"/>
      <c r="E83" s="47"/>
      <c r="F83" s="49" t="s">
        <v>86</v>
      </c>
      <c r="G83" s="50">
        <f>13.7167772585*1000</f>
        <v>13716.7772585</v>
      </c>
      <c r="H83" s="51" t="s">
        <v>19</v>
      </c>
    </row>
    <row r="84">
      <c r="B84" s="46"/>
      <c r="C84" s="47"/>
      <c r="D84" s="48"/>
      <c r="E84" s="47"/>
      <c r="F84" s="49" t="s">
        <v>87</v>
      </c>
      <c r="G84" s="50">
        <f>10.51902271*0.85*1000</f>
        <v>8941.1693034999989</v>
      </c>
      <c r="H84" s="51" t="s">
        <v>35</v>
      </c>
    </row>
    <row r="85" ht="18.75">
      <c r="B85" s="46"/>
      <c r="C85" s="47"/>
      <c r="D85" s="48"/>
      <c r="E85" s="47"/>
      <c r="F85" s="43" t="s">
        <v>88</v>
      </c>
      <c r="G85" s="44">
        <f>SUM(G86:G105)</f>
        <v>262113.17170500004</v>
      </c>
      <c r="H85" s="45"/>
    </row>
    <row r="86" ht="21" customHeight="1">
      <c r="B86" s="46"/>
      <c r="C86" s="47"/>
      <c r="D86" s="48"/>
      <c r="E86" s="47"/>
      <c r="F86" s="53" t="s">
        <v>89</v>
      </c>
      <c r="G86" s="50">
        <f>1000*2.7055730435</f>
        <v>2705.5730435</v>
      </c>
      <c r="H86" s="51" t="s">
        <v>19</v>
      </c>
    </row>
    <row r="87" ht="21" customHeight="1">
      <c r="B87" s="46"/>
      <c r="C87" s="47"/>
      <c r="D87" s="48"/>
      <c r="E87" s="47"/>
      <c r="F87" s="52"/>
      <c r="G87" s="50">
        <f>1000*0.85*37.47117795</f>
        <v>31850.501257499996</v>
      </c>
      <c r="H87" s="51" t="s">
        <v>21</v>
      </c>
    </row>
    <row r="88" ht="47.25">
      <c r="B88" s="46"/>
      <c r="C88" s="47"/>
      <c r="D88" s="48"/>
      <c r="E88" s="47"/>
      <c r="F88" s="49" t="s">
        <v>90</v>
      </c>
      <c r="G88" s="50">
        <f>-0.002771306*1000</f>
        <v>-2.771306</v>
      </c>
      <c r="H88" s="51" t="s">
        <v>19</v>
      </c>
    </row>
    <row r="89" ht="31.5">
      <c r="B89" s="46"/>
      <c r="C89" s="47"/>
      <c r="D89" s="48"/>
      <c r="E89" s="47"/>
      <c r="F89" s="49" t="s">
        <v>91</v>
      </c>
      <c r="G89" s="50">
        <f>0.7573894315*1000</f>
        <v>757.3894315</v>
      </c>
      <c r="H89" s="51" t="s">
        <v>19</v>
      </c>
    </row>
    <row r="90" ht="31.5">
      <c r="B90" s="46"/>
      <c r="C90" s="47"/>
      <c r="D90" s="48"/>
      <c r="E90" s="47"/>
      <c r="F90" s="49" t="s">
        <v>92</v>
      </c>
      <c r="G90" s="50">
        <f>0.182768088*1000</f>
        <v>182.76808800000001</v>
      </c>
      <c r="H90" s="51" t="s">
        <v>19</v>
      </c>
    </row>
    <row r="91">
      <c r="B91" s="46"/>
      <c r="C91" s="47"/>
      <c r="D91" s="48"/>
      <c r="E91" s="47"/>
      <c r="F91" s="53" t="s">
        <v>93</v>
      </c>
      <c r="G91" s="50">
        <f>0.53363476*1000</f>
        <v>533.63476000000003</v>
      </c>
      <c r="H91" s="51" t="s">
        <v>19</v>
      </c>
    </row>
    <row r="92">
      <c r="B92" s="46"/>
      <c r="C92" s="47"/>
      <c r="D92" s="48"/>
      <c r="E92" s="47"/>
      <c r="F92" s="52"/>
      <c r="G92" s="50">
        <f>75.9335172*1000*0.85</f>
        <v>64543.48962</v>
      </c>
      <c r="H92" s="51" t="s">
        <v>21</v>
      </c>
    </row>
    <row r="93" ht="21" customHeight="1">
      <c r="B93" s="46"/>
      <c r="C93" s="47"/>
      <c r="D93" s="48"/>
      <c r="E93" s="47"/>
      <c r="F93" s="53" t="s">
        <v>94</v>
      </c>
      <c r="G93" s="50">
        <f>1.275640373*1000</f>
        <v>1275.6403730000002</v>
      </c>
      <c r="H93" s="51" t="s">
        <v>19</v>
      </c>
      <c r="K93" s="32"/>
    </row>
    <row r="94" ht="21" customHeight="1">
      <c r="B94" s="46"/>
      <c r="C94" s="47"/>
      <c r="D94" s="48"/>
      <c r="E94" s="47"/>
      <c r="F94" s="52"/>
      <c r="G94" s="50">
        <f>29.47491996*1000*0.85</f>
        <v>25053.681966</v>
      </c>
      <c r="H94" s="51" t="s">
        <v>21</v>
      </c>
      <c r="K94" s="32"/>
    </row>
    <row r="95">
      <c r="B95" s="46"/>
      <c r="C95" s="47"/>
      <c r="D95" s="48"/>
      <c r="E95" s="47"/>
      <c r="F95" s="53" t="s">
        <v>95</v>
      </c>
      <c r="G95" s="50">
        <f>0.31875*1000</f>
        <v>318.75</v>
      </c>
      <c r="H95" s="51" t="s">
        <v>19</v>
      </c>
    </row>
    <row r="96">
      <c r="B96" s="46"/>
      <c r="C96" s="47"/>
      <c r="D96" s="48"/>
      <c r="E96" s="47"/>
      <c r="F96" s="52"/>
      <c r="G96" s="50">
        <f>61.098*0.85*1000</f>
        <v>51933.299999999996</v>
      </c>
      <c r="H96" s="51" t="s">
        <v>21</v>
      </c>
    </row>
    <row r="97">
      <c r="B97" s="46"/>
      <c r="C97" s="47"/>
      <c r="D97" s="48"/>
      <c r="E97" s="47"/>
      <c r="F97" s="49" t="s">
        <v>96</v>
      </c>
      <c r="G97" s="50">
        <f>3.01728325*1000</f>
        <v>3017.2832500000004</v>
      </c>
      <c r="H97" s="51" t="s">
        <v>19</v>
      </c>
    </row>
    <row r="98" ht="37.5" customHeight="1">
      <c r="B98" s="46"/>
      <c r="C98" s="47"/>
      <c r="D98" s="48"/>
      <c r="E98" s="47"/>
      <c r="F98" s="49" t="s">
        <v>97</v>
      </c>
      <c r="G98" s="50">
        <f>36.84*1000*0.85</f>
        <v>31314</v>
      </c>
      <c r="H98" s="51" t="s">
        <v>21</v>
      </c>
    </row>
    <row r="99" ht="31.5" customHeight="1">
      <c r="B99" s="46"/>
      <c r="C99" s="47"/>
      <c r="D99" s="48"/>
      <c r="E99" s="47"/>
      <c r="F99" s="49" t="s">
        <v>98</v>
      </c>
      <c r="G99" s="50">
        <f>2.3048306665*1000</f>
        <v>2304.8306665</v>
      </c>
      <c r="H99" s="51" t="s">
        <v>19</v>
      </c>
    </row>
    <row r="100" ht="31.5">
      <c r="B100" s="46"/>
      <c r="C100" s="47"/>
      <c r="D100" s="48"/>
      <c r="E100" s="47"/>
      <c r="F100" s="53" t="s">
        <v>99</v>
      </c>
      <c r="G100" s="50">
        <f>25.5667171545*1000</f>
        <v>25566.717154500002</v>
      </c>
      <c r="H100" s="51" t="s">
        <v>19</v>
      </c>
    </row>
    <row r="101" ht="31.5">
      <c r="B101" s="46"/>
      <c r="C101" s="47"/>
      <c r="D101" s="48"/>
      <c r="E101" s="47"/>
      <c r="F101" s="49" t="s">
        <v>100</v>
      </c>
      <c r="G101" s="50">
        <f>2.0789818925*1000</f>
        <v>2078.9818925</v>
      </c>
      <c r="H101" s="51" t="s">
        <v>19</v>
      </c>
    </row>
    <row r="102" ht="47.25">
      <c r="B102" s="46"/>
      <c r="C102" s="47"/>
      <c r="D102" s="48"/>
      <c r="E102" s="47"/>
      <c r="F102" s="49" t="s">
        <v>101</v>
      </c>
      <c r="G102" s="50">
        <f>1.179409*1000</f>
        <v>1179.4089999999999</v>
      </c>
      <c r="H102" s="51" t="s">
        <v>19</v>
      </c>
    </row>
    <row r="103">
      <c r="B103" s="46"/>
      <c r="C103" s="47"/>
      <c r="D103" s="48"/>
      <c r="E103" s="47"/>
      <c r="F103" s="53" t="s">
        <v>102</v>
      </c>
      <c r="G103" s="50">
        <f>11.4641375525*1000</f>
        <v>11464.1375525</v>
      </c>
      <c r="H103" s="51" t="s">
        <v>19</v>
      </c>
    </row>
    <row r="104">
      <c r="B104" s="46"/>
      <c r="C104" s="47"/>
      <c r="D104" s="48"/>
      <c r="E104" s="47"/>
      <c r="F104" s="52"/>
      <c r="G104" s="50">
        <f>1.704474*0.85*1000</f>
        <v>1448.8028999999999</v>
      </c>
      <c r="H104" s="51" t="s">
        <v>21</v>
      </c>
    </row>
    <row r="105">
      <c r="B105" s="46"/>
      <c r="C105" s="47"/>
      <c r="D105" s="48"/>
      <c r="E105" s="47"/>
      <c r="F105" s="49" t="s">
        <v>103</v>
      </c>
      <c r="G105" s="50">
        <f>5.39653183*1000*0.85</f>
        <v>4587.0520554999994</v>
      </c>
      <c r="H105" s="51" t="s">
        <v>35</v>
      </c>
    </row>
    <row r="106" ht="18.75">
      <c r="B106" s="46"/>
      <c r="C106" s="47"/>
      <c r="D106" s="48"/>
      <c r="E106" s="47"/>
      <c r="F106" s="43" t="s">
        <v>104</v>
      </c>
      <c r="G106" s="44">
        <f>SUM(G107:G126)</f>
        <v>780626.79898050008</v>
      </c>
      <c r="H106" s="45"/>
    </row>
    <row r="107">
      <c r="B107" s="46"/>
      <c r="C107" s="47"/>
      <c r="D107" s="48"/>
      <c r="E107" s="47"/>
      <c r="F107" s="49" t="s">
        <v>105</v>
      </c>
      <c r="G107" s="50">
        <f>105.0924251455*1000</f>
        <v>105092.4251455</v>
      </c>
      <c r="H107" s="51" t="s">
        <v>19</v>
      </c>
    </row>
    <row r="108" ht="31.5">
      <c r="B108" s="46"/>
      <c r="C108" s="47"/>
      <c r="D108" s="48"/>
      <c r="E108" s="47"/>
      <c r="F108" s="49" t="s">
        <v>106</v>
      </c>
      <c r="G108" s="50">
        <f>339.31341238*1000</f>
        <v>339313.41237999999</v>
      </c>
      <c r="H108" s="51" t="s">
        <v>19</v>
      </c>
      <c r="K108" s="32"/>
    </row>
    <row r="109" ht="31.5">
      <c r="B109" s="46"/>
      <c r="C109" s="47"/>
      <c r="D109" s="48"/>
      <c r="E109" s="47"/>
      <c r="F109" s="49" t="s">
        <v>107</v>
      </c>
      <c r="G109" s="50">
        <f>9.36*0.85*1000</f>
        <v>7955.9999999999991</v>
      </c>
      <c r="H109" s="51" t="s">
        <v>21</v>
      </c>
    </row>
    <row r="110" ht="31.5">
      <c r="B110" s="46"/>
      <c r="C110" s="47"/>
      <c r="D110" s="48"/>
      <c r="E110" s="47"/>
      <c r="F110" s="49" t="s">
        <v>108</v>
      </c>
      <c r="G110" s="50">
        <f>22.052616053*1000</f>
        <v>22052.616053000002</v>
      </c>
      <c r="H110" s="51" t="s">
        <v>19</v>
      </c>
    </row>
    <row r="111" ht="31.5">
      <c r="B111" s="46"/>
      <c r="C111" s="47"/>
      <c r="D111" s="48"/>
      <c r="E111" s="47"/>
      <c r="F111" s="49" t="s">
        <v>109</v>
      </c>
      <c r="G111" s="50">
        <f>-1.05327902*1000*0.85</f>
        <v>-895.28716699999995</v>
      </c>
      <c r="H111" s="51" t="s">
        <v>21</v>
      </c>
    </row>
    <row r="112" ht="17.25" customHeight="1">
      <c r="B112" s="46"/>
      <c r="C112" s="47"/>
      <c r="D112" s="48"/>
      <c r="E112" s="47"/>
      <c r="F112" s="53" t="s">
        <v>110</v>
      </c>
      <c r="G112" s="50">
        <f>0.0573289895*1000</f>
        <v>57.328989499999999</v>
      </c>
      <c r="H112" s="51" t="s">
        <v>19</v>
      </c>
    </row>
    <row r="113">
      <c r="B113" s="46"/>
      <c r="C113" s="47"/>
      <c r="D113" s="48"/>
      <c r="E113" s="47"/>
      <c r="F113" s="52"/>
      <c r="G113" s="50">
        <f>3.89276313*1000*0.85</f>
        <v>3308.8486605000003</v>
      </c>
      <c r="H113" s="51" t="s">
        <v>21</v>
      </c>
    </row>
    <row r="114" ht="47.25">
      <c r="B114" s="46"/>
      <c r="C114" s="47"/>
      <c r="D114" s="48"/>
      <c r="E114" s="47"/>
      <c r="F114" s="49" t="s">
        <v>111</v>
      </c>
      <c r="G114" s="50">
        <f>3.32127902*1000*0.85</f>
        <v>2823.0871669999997</v>
      </c>
      <c r="H114" s="51" t="s">
        <v>21</v>
      </c>
    </row>
    <row r="115" ht="31.5">
      <c r="B115" s="46"/>
      <c r="C115" s="47"/>
      <c r="D115" s="48"/>
      <c r="E115" s="47"/>
      <c r="F115" s="49" t="s">
        <v>112</v>
      </c>
      <c r="G115" s="50">
        <f>233.0460604*1000*0.85</f>
        <v>198089.15133999998</v>
      </c>
      <c r="H115" s="51" t="s">
        <v>21</v>
      </c>
    </row>
    <row r="116" ht="31.5">
      <c r="B116" s="46"/>
      <c r="C116" s="47"/>
      <c r="D116" s="48"/>
      <c r="E116" s="47"/>
      <c r="F116" s="49" t="s">
        <v>113</v>
      </c>
      <c r="G116" s="50">
        <f>3.755590224*1000</f>
        <v>3755.590224</v>
      </c>
      <c r="H116" s="51" t="s">
        <v>19</v>
      </c>
    </row>
    <row r="117" ht="31.5">
      <c r="B117" s="46"/>
      <c r="C117" s="47"/>
      <c r="D117" s="48"/>
      <c r="E117" s="47"/>
      <c r="F117" s="49" t="s">
        <v>114</v>
      </c>
      <c r="G117" s="50">
        <f>0.5749146445*1000</f>
        <v>574.91464450000001</v>
      </c>
      <c r="H117" s="51" t="s">
        <v>19</v>
      </c>
    </row>
    <row r="118">
      <c r="B118" s="46"/>
      <c r="C118" s="47"/>
      <c r="D118" s="48"/>
      <c r="E118" s="47"/>
      <c r="F118" s="49" t="s">
        <v>115</v>
      </c>
      <c r="G118" s="50">
        <f>1.87748425*1000</f>
        <v>1877.48425</v>
      </c>
      <c r="H118" s="51" t="s">
        <v>19</v>
      </c>
    </row>
    <row r="119" ht="31.5">
      <c r="B119" s="46"/>
      <c r="C119" s="47"/>
      <c r="D119" s="48"/>
      <c r="E119" s="47"/>
      <c r="F119" s="55" t="s">
        <v>116</v>
      </c>
      <c r="G119" s="50">
        <f>0.0101768715*1000</f>
        <v>10.176871500000001</v>
      </c>
      <c r="H119" s="51" t="s">
        <v>19</v>
      </c>
    </row>
    <row r="120" ht="28.5" customHeight="1">
      <c r="B120" s="46"/>
      <c r="C120" s="47"/>
      <c r="D120" s="48"/>
      <c r="E120" s="47"/>
      <c r="F120" s="55" t="s">
        <v>117</v>
      </c>
      <c r="G120" s="50">
        <f>5.059638787*1000</f>
        <v>5059.6387869999999</v>
      </c>
      <c r="H120" s="51" t="s">
        <v>19</v>
      </c>
    </row>
    <row r="121" ht="31.5">
      <c r="B121" s="46"/>
      <c r="C121" s="47"/>
      <c r="D121" s="48"/>
      <c r="E121" s="47"/>
      <c r="F121" s="49" t="s">
        <v>118</v>
      </c>
      <c r="G121" s="50">
        <f>5.7700633895*1000</f>
        <v>5770.0633895000001</v>
      </c>
      <c r="H121" s="51" t="s">
        <v>19</v>
      </c>
    </row>
    <row r="122" ht="47.25">
      <c r="B122" s="46"/>
      <c r="C122" s="47"/>
      <c r="D122" s="48"/>
      <c r="E122" s="47"/>
      <c r="F122" s="49" t="s">
        <v>119</v>
      </c>
      <c r="G122" s="50">
        <f>16.92775*1000</f>
        <v>16927.75</v>
      </c>
      <c r="H122" s="51" t="s">
        <v>19</v>
      </c>
      <c r="L122" s="32"/>
    </row>
    <row r="123" ht="31.5">
      <c r="B123" s="46"/>
      <c r="C123" s="47"/>
      <c r="D123" s="48"/>
      <c r="E123" s="47"/>
      <c r="F123" s="49" t="s">
        <v>120</v>
      </c>
      <c r="G123" s="50">
        <f>0.498798989*1000</f>
        <v>498.79898900000001</v>
      </c>
      <c r="H123" s="51" t="s">
        <v>19</v>
      </c>
    </row>
    <row r="124">
      <c r="B124" s="46"/>
      <c r="C124" s="47"/>
      <c r="D124" s="48"/>
      <c r="E124" s="47"/>
      <c r="F124" s="53" t="s">
        <v>121</v>
      </c>
      <c r="G124" s="50">
        <f>45.310201201*1000</f>
        <v>45310.201200999996</v>
      </c>
      <c r="H124" s="51" t="s">
        <v>19</v>
      </c>
    </row>
    <row r="125">
      <c r="B125" s="46"/>
      <c r="C125" s="47"/>
      <c r="D125" s="48"/>
      <c r="E125" s="47"/>
      <c r="F125" s="52"/>
      <c r="G125" s="50">
        <f>9.5005625*1000*0.85</f>
        <v>8075.4781249999996</v>
      </c>
      <c r="H125" s="51" t="s">
        <v>68</v>
      </c>
    </row>
    <row r="126">
      <c r="B126" s="46"/>
      <c r="C126" s="47"/>
      <c r="D126" s="48"/>
      <c r="E126" s="47"/>
      <c r="F126" s="49" t="s">
        <v>122</v>
      </c>
      <c r="G126" s="50">
        <f>17.61072933*0.85*1000</f>
        <v>14969.119930500001</v>
      </c>
      <c r="H126" s="51" t="s">
        <v>35</v>
      </c>
    </row>
    <row r="127" ht="18.75">
      <c r="B127" s="46"/>
      <c r="C127" s="47"/>
      <c r="D127" s="48"/>
      <c r="E127" s="47"/>
      <c r="F127" s="43" t="s">
        <v>123</v>
      </c>
      <c r="G127" s="44">
        <f>SUM(G128:G143)</f>
        <v>757330.63112109492</v>
      </c>
      <c r="H127" s="56"/>
    </row>
    <row r="128">
      <c r="B128" s="46"/>
      <c r="C128" s="47"/>
      <c r="D128" s="48"/>
      <c r="E128" s="47"/>
      <c r="F128" s="49" t="s">
        <v>124</v>
      </c>
      <c r="G128" s="50">
        <f>6.5698251425*1000</f>
        <v>6569.8251424999999</v>
      </c>
      <c r="H128" s="51" t="s">
        <v>19</v>
      </c>
    </row>
    <row r="129">
      <c r="B129" s="46"/>
      <c r="C129" s="47"/>
      <c r="D129" s="48"/>
      <c r="E129" s="47"/>
      <c r="F129" s="49" t="s">
        <v>125</v>
      </c>
      <c r="G129" s="50">
        <f>7.12787135*1000</f>
        <v>7127.8713500000003</v>
      </c>
      <c r="H129" s="51" t="s">
        <v>19</v>
      </c>
    </row>
    <row r="130" ht="31.5">
      <c r="B130" s="46"/>
      <c r="C130" s="47"/>
      <c r="D130" s="48"/>
      <c r="E130" s="47"/>
      <c r="F130" s="49" t="s">
        <v>126</v>
      </c>
      <c r="G130" s="50">
        <f>407.775446773595*1000</f>
        <v>407775.446773595</v>
      </c>
      <c r="H130" s="51" t="s">
        <v>19</v>
      </c>
    </row>
    <row r="131" ht="31.5">
      <c r="B131" s="46"/>
      <c r="C131" s="47"/>
      <c r="D131" s="48"/>
      <c r="E131" s="47"/>
      <c r="F131" s="49" t="s">
        <v>127</v>
      </c>
      <c r="G131" s="50">
        <f>0.0270973115*1000</f>
        <v>27.0973115</v>
      </c>
      <c r="H131" s="54" t="s">
        <v>19</v>
      </c>
    </row>
    <row r="132" ht="31.5" customHeight="1">
      <c r="B132" s="46"/>
      <c r="C132" s="47"/>
      <c r="D132" s="48"/>
      <c r="E132" s="47"/>
      <c r="F132" s="49" t="s">
        <v>128</v>
      </c>
      <c r="G132" s="50">
        <f>1.0685981125*1000</f>
        <v>1068.5981124999998</v>
      </c>
      <c r="H132" s="51" t="s">
        <v>19</v>
      </c>
    </row>
    <row r="133" ht="47.25">
      <c r="B133" s="46"/>
      <c r="C133" s="47"/>
      <c r="D133" s="48"/>
      <c r="E133" s="47"/>
      <c r="F133" s="49" t="s">
        <v>129</v>
      </c>
      <c r="G133" s="50">
        <f>61.976186493*1000</f>
        <v>61976.186493000001</v>
      </c>
      <c r="H133" s="51" t="s">
        <v>19</v>
      </c>
    </row>
    <row r="134" ht="47.25">
      <c r="B134" s="46"/>
      <c r="C134" s="47"/>
      <c r="D134" s="48"/>
      <c r="E134" s="47"/>
      <c r="F134" s="49" t="s">
        <v>130</v>
      </c>
      <c r="G134" s="50">
        <f>10.6968375885*1000</f>
        <v>10696.837588499999</v>
      </c>
      <c r="H134" s="51" t="s">
        <v>19</v>
      </c>
    </row>
    <row r="135" ht="31.5">
      <c r="B135" s="46"/>
      <c r="C135" s="47"/>
      <c r="D135" s="48"/>
      <c r="E135" s="47"/>
      <c r="F135" s="49" t="s">
        <v>131</v>
      </c>
      <c r="G135" s="50">
        <f>26.8962711575*1000</f>
        <v>26896.271157499999</v>
      </c>
      <c r="H135" s="51" t="s">
        <v>19</v>
      </c>
    </row>
    <row r="136">
      <c r="B136" s="46"/>
      <c r="C136" s="47"/>
      <c r="D136" s="48"/>
      <c r="E136" s="47"/>
      <c r="F136" s="49" t="s">
        <v>132</v>
      </c>
      <c r="G136" s="50">
        <f>15.661119916*1000</f>
        <v>15661.119916</v>
      </c>
      <c r="H136" s="51" t="s">
        <v>19</v>
      </c>
    </row>
    <row r="137">
      <c r="B137" s="46"/>
      <c r="C137" s="47"/>
      <c r="D137" s="48"/>
      <c r="E137" s="47"/>
      <c r="F137" s="49" t="s">
        <v>133</v>
      </c>
      <c r="G137" s="50">
        <f>3.57*1000</f>
        <v>3570</v>
      </c>
      <c r="H137" s="51" t="s">
        <v>19</v>
      </c>
    </row>
    <row r="138" ht="31.5">
      <c r="B138" s="46"/>
      <c r="C138" s="47"/>
      <c r="D138" s="48"/>
      <c r="E138" s="47"/>
      <c r="F138" s="49" t="s">
        <v>134</v>
      </c>
      <c r="G138" s="50">
        <f>7.7513366345*1000</f>
        <v>7751.3366345000004</v>
      </c>
      <c r="H138" s="51" t="s">
        <v>19</v>
      </c>
    </row>
    <row r="139">
      <c r="B139" s="46"/>
      <c r="C139" s="47"/>
      <c r="D139" s="48"/>
      <c r="E139" s="47"/>
      <c r="F139" s="49" t="s">
        <v>135</v>
      </c>
      <c r="G139" s="50">
        <f>7.8201458175*1000</f>
        <v>7820.1458175000007</v>
      </c>
      <c r="H139" s="51" t="s">
        <v>19</v>
      </c>
    </row>
    <row r="140">
      <c r="B140" s="46"/>
      <c r="C140" s="47"/>
      <c r="D140" s="48"/>
      <c r="E140" s="47"/>
      <c r="F140" s="53" t="s">
        <v>136</v>
      </c>
      <c r="G140" s="50">
        <f>43.2286438935*1000</f>
        <v>43228.643893499997</v>
      </c>
      <c r="H140" s="51" t="s">
        <v>19</v>
      </c>
    </row>
    <row r="141">
      <c r="B141" s="46"/>
      <c r="C141" s="47"/>
      <c r="D141" s="48"/>
      <c r="E141" s="47"/>
      <c r="F141" s="52"/>
      <c r="G141" s="50">
        <f>0.62375*1000*0.85</f>
        <v>530.1875</v>
      </c>
      <c r="H141" s="51" t="s">
        <v>137</v>
      </c>
    </row>
    <row r="142">
      <c r="B142" s="46"/>
      <c r="C142" s="47"/>
      <c r="D142" s="48"/>
      <c r="E142" s="47"/>
      <c r="F142" s="49" t="s">
        <v>138</v>
      </c>
      <c r="G142" s="50">
        <f>1000*0.85*2.11158433</f>
        <v>1794.8466804999998</v>
      </c>
      <c r="H142" s="51" t="s">
        <v>35</v>
      </c>
    </row>
    <row r="143">
      <c r="B143" s="46"/>
      <c r="C143" s="47"/>
      <c r="D143" s="48"/>
      <c r="E143" s="47"/>
      <c r="F143" s="52" t="s">
        <v>139</v>
      </c>
      <c r="G143" s="57">
        <f>182.160255*1000*0.85</f>
        <v>154836.21674999999</v>
      </c>
      <c r="H143" s="58" t="s">
        <v>140</v>
      </c>
    </row>
    <row r="144" ht="18.75">
      <c r="B144" s="46"/>
      <c r="C144" s="47"/>
      <c r="D144" s="48"/>
      <c r="E144" s="47"/>
      <c r="F144" s="43" t="s">
        <v>141</v>
      </c>
      <c r="G144" s="44">
        <f>SUM(G145:G154)</f>
        <v>266113.56715200003</v>
      </c>
      <c r="H144" s="45"/>
    </row>
    <row r="145" ht="31.5">
      <c r="B145" s="46"/>
      <c r="C145" s="47"/>
      <c r="D145" s="48"/>
      <c r="E145" s="47"/>
      <c r="F145" s="49" t="s">
        <v>142</v>
      </c>
      <c r="G145" s="50">
        <f>34.523337582*1000</f>
        <v>34523.337582</v>
      </c>
      <c r="H145" s="51" t="s">
        <v>19</v>
      </c>
    </row>
    <row r="146" ht="31.5">
      <c r="B146" s="46"/>
      <c r="C146" s="47"/>
      <c r="D146" s="48"/>
      <c r="E146" s="47"/>
      <c r="F146" s="49" t="s">
        <v>143</v>
      </c>
      <c r="G146" s="50">
        <f>14.573610414*1000</f>
        <v>14573.610413999999</v>
      </c>
      <c r="H146" s="51" t="s">
        <v>19</v>
      </c>
    </row>
    <row r="147" ht="47.25">
      <c r="B147" s="46"/>
      <c r="C147" s="47"/>
      <c r="D147" s="48"/>
      <c r="E147" s="47"/>
      <c r="F147" s="49" t="s">
        <v>144</v>
      </c>
      <c r="G147" s="50">
        <f>0.2034*1000</f>
        <v>203.40000000000001</v>
      </c>
      <c r="H147" s="51" t="s">
        <v>19</v>
      </c>
    </row>
    <row r="148" ht="47.25">
      <c r="B148" s="46"/>
      <c r="C148" s="47"/>
      <c r="D148" s="48"/>
      <c r="E148" s="47"/>
      <c r="F148" s="49" t="s">
        <v>145</v>
      </c>
      <c r="G148" s="50">
        <f>8.99352*1000</f>
        <v>8993.5200000000004</v>
      </c>
      <c r="H148" s="51" t="s">
        <v>19</v>
      </c>
    </row>
    <row r="149" ht="47.25">
      <c r="B149" s="46"/>
      <c r="C149" s="47"/>
      <c r="D149" s="48"/>
      <c r="E149" s="47"/>
      <c r="F149" s="49" t="s">
        <v>146</v>
      </c>
      <c r="G149" s="50">
        <f>29.205*1000</f>
        <v>29205</v>
      </c>
      <c r="H149" s="51" t="s">
        <v>19</v>
      </c>
    </row>
    <row r="150" ht="31.5">
      <c r="B150" s="46"/>
      <c r="C150" s="47"/>
      <c r="D150" s="48"/>
      <c r="E150" s="47"/>
      <c r="F150" s="49" t="s">
        <v>147</v>
      </c>
      <c r="G150" s="50">
        <f>10.14376293*1000</f>
        <v>10143.762929999999</v>
      </c>
      <c r="H150" s="51" t="s">
        <v>19</v>
      </c>
    </row>
    <row r="151">
      <c r="B151" s="46"/>
      <c r="C151" s="47"/>
      <c r="D151" s="48"/>
      <c r="E151" s="47"/>
      <c r="F151" s="53" t="s">
        <v>148</v>
      </c>
      <c r="G151" s="50">
        <f>63.354816324*1000</f>
        <v>63354.816323999999</v>
      </c>
      <c r="H151" s="51" t="s">
        <v>19</v>
      </c>
    </row>
    <row r="152">
      <c r="B152" s="46"/>
      <c r="C152" s="47"/>
      <c r="D152" s="48"/>
      <c r="E152" s="47"/>
      <c r="F152" s="52"/>
      <c r="G152" s="50">
        <f>0.62375*1000*0.9</f>
        <v>561.375</v>
      </c>
      <c r="H152" s="51" t="s">
        <v>137</v>
      </c>
    </row>
    <row r="153">
      <c r="B153" s="46"/>
      <c r="C153" s="47"/>
      <c r="D153" s="48"/>
      <c r="E153" s="47"/>
      <c r="F153" s="49" t="s">
        <v>149</v>
      </c>
      <c r="G153" s="50">
        <f>5.9155285*0.9*1000</f>
        <v>5323.9756499999994</v>
      </c>
      <c r="H153" s="51" t="s">
        <v>35</v>
      </c>
    </row>
    <row r="154" ht="32.25">
      <c r="B154" s="46"/>
      <c r="C154" s="47"/>
      <c r="D154" s="48"/>
      <c r="E154" s="47"/>
      <c r="F154" s="49" t="s">
        <v>150</v>
      </c>
      <c r="G154" s="50">
        <f>99.230769252*1000</f>
        <v>99230.769251999998</v>
      </c>
      <c r="H154" s="51" t="s">
        <v>35</v>
      </c>
    </row>
    <row r="155" s="33" customFormat="1" ht="19.5">
      <c r="B155" s="34"/>
      <c r="C155" s="35"/>
      <c r="D155" s="35"/>
      <c r="E155" s="35"/>
      <c r="F155" s="36" t="s">
        <v>151</v>
      </c>
      <c r="G155" s="37">
        <f>G156+G181</f>
        <v>398599.95613949996</v>
      </c>
      <c r="H155" s="38"/>
    </row>
    <row r="156" ht="18.75">
      <c r="B156" s="59" t="str">
        <f>B13</f>
        <v xml:space="preserve">Об утверждении инвестиционной программы АО "ДГК" на 2024-2029 годы, и изменений, вносимых в инвестиционную программу АО "ДГК", утвержденную приказом Минэнерго России от 28.12.2023 №38@</v>
      </c>
      <c r="C156" s="60" t="str">
        <f>C13</f>
        <v xml:space="preserve">Приказ 39@ от 23.12.2024 г.</v>
      </c>
      <c r="D156" s="61" t="s">
        <v>152</v>
      </c>
      <c r="E156" s="60" t="s">
        <v>16</v>
      </c>
      <c r="F156" s="43" t="s">
        <v>153</v>
      </c>
      <c r="G156" s="62">
        <f>SUM(G157:G180)</f>
        <v>197195.70825249999</v>
      </c>
      <c r="H156" s="63"/>
    </row>
    <row r="157" ht="56.25">
      <c r="B157" s="64"/>
      <c r="C157" s="65"/>
      <c r="D157" s="65"/>
      <c r="E157" s="65"/>
      <c r="F157" s="66" t="s">
        <v>154</v>
      </c>
      <c r="G157" s="67">
        <f>9.14449125*1000</f>
        <v>9144.4912499999991</v>
      </c>
      <c r="H157" s="68" t="s">
        <v>19</v>
      </c>
      <c r="K157" s="32"/>
    </row>
    <row r="158" ht="56.25">
      <c r="B158" s="64"/>
      <c r="C158" s="65"/>
      <c r="D158" s="65"/>
      <c r="E158" s="65"/>
      <c r="F158" s="66" t="s">
        <v>155</v>
      </c>
      <c r="G158" s="50">
        <f>3.1445597*1000</f>
        <v>3144.5596999999998</v>
      </c>
      <c r="H158" s="68" t="s">
        <v>19</v>
      </c>
    </row>
    <row r="159" ht="37.5">
      <c r="B159" s="64"/>
      <c r="C159" s="65"/>
      <c r="D159" s="65"/>
      <c r="E159" s="65"/>
      <c r="F159" s="66" t="s">
        <v>156</v>
      </c>
      <c r="G159" s="50">
        <f>0.317090477*1000</f>
        <v>317.09047699999996</v>
      </c>
      <c r="H159" s="68" t="s">
        <v>19</v>
      </c>
    </row>
    <row r="160" ht="37.5">
      <c r="B160" s="64"/>
      <c r="C160" s="65"/>
      <c r="D160" s="65"/>
      <c r="E160" s="65"/>
      <c r="F160" s="66" t="s">
        <v>157</v>
      </c>
      <c r="G160" s="50">
        <f>7.83349732*1000</f>
        <v>7833.4973200000004</v>
      </c>
      <c r="H160" s="68" t="s">
        <v>19</v>
      </c>
    </row>
    <row r="161" ht="18.75">
      <c r="B161" s="64"/>
      <c r="C161" s="65"/>
      <c r="D161" s="65"/>
      <c r="E161" s="65"/>
      <c r="F161" s="66" t="s">
        <v>158</v>
      </c>
      <c r="G161" s="50">
        <f>2.8534455375*1000</f>
        <v>2853.4455374999998</v>
      </c>
      <c r="H161" s="68" t="s">
        <v>19</v>
      </c>
    </row>
    <row r="162" ht="37.5">
      <c r="B162" s="64"/>
      <c r="C162" s="65"/>
      <c r="D162" s="65"/>
      <c r="E162" s="65"/>
      <c r="F162" s="66" t="s">
        <v>159</v>
      </c>
      <c r="G162" s="50">
        <f>0.3663094*1000</f>
        <v>366.30939999999998</v>
      </c>
      <c r="H162" s="68" t="s">
        <v>19</v>
      </c>
    </row>
    <row r="163" ht="37.5">
      <c r="B163" s="64"/>
      <c r="C163" s="65"/>
      <c r="D163" s="65"/>
      <c r="E163" s="65"/>
      <c r="F163" s="66" t="s">
        <v>160</v>
      </c>
      <c r="G163" s="50">
        <f>14.35274866*1000</f>
        <v>14352.748659999999</v>
      </c>
      <c r="H163" s="68" t="s">
        <v>19</v>
      </c>
    </row>
    <row r="164" ht="18.75">
      <c r="B164" s="64"/>
      <c r="C164" s="65"/>
      <c r="D164" s="65"/>
      <c r="E164" s="65"/>
      <c r="F164" s="66" t="s">
        <v>161</v>
      </c>
      <c r="G164" s="50">
        <f>0.803514775*1000</f>
        <v>803.51477499999999</v>
      </c>
      <c r="H164" s="68" t="s">
        <v>19</v>
      </c>
    </row>
    <row r="165" ht="37.5">
      <c r="B165" s="64"/>
      <c r="C165" s="65"/>
      <c r="D165" s="65"/>
      <c r="E165" s="65"/>
      <c r="F165" s="66" t="s">
        <v>162</v>
      </c>
      <c r="G165" s="50">
        <f>1000*2.308423115</f>
        <v>2308.4231150000001</v>
      </c>
      <c r="H165" s="68" t="s">
        <v>19</v>
      </c>
    </row>
    <row r="166" ht="37.5">
      <c r="B166" s="64"/>
      <c r="C166" s="65"/>
      <c r="D166" s="65"/>
      <c r="E166" s="65"/>
      <c r="F166" s="66" t="s">
        <v>163</v>
      </c>
      <c r="G166" s="50">
        <f>1000*0.74885935</f>
        <v>748.85935000000006</v>
      </c>
      <c r="H166" s="68" t="s">
        <v>19</v>
      </c>
    </row>
    <row r="167" ht="37.5">
      <c r="B167" s="64"/>
      <c r="C167" s="65"/>
      <c r="D167" s="65"/>
      <c r="E167" s="65"/>
      <c r="F167" s="66" t="s">
        <v>164</v>
      </c>
      <c r="G167" s="50">
        <f>1000*9.858909603</f>
        <v>9858.9096030000001</v>
      </c>
      <c r="H167" s="68" t="s">
        <v>19</v>
      </c>
    </row>
    <row r="168" ht="37.5">
      <c r="B168" s="64"/>
      <c r="C168" s="65"/>
      <c r="D168" s="65"/>
      <c r="E168" s="65"/>
      <c r="F168" s="66" t="s">
        <v>165</v>
      </c>
      <c r="G168" s="50">
        <f>1000*2.2066</f>
        <v>2206.5999999999999</v>
      </c>
      <c r="H168" s="68" t="s">
        <v>19</v>
      </c>
    </row>
    <row r="169" ht="18.75">
      <c r="B169" s="64"/>
      <c r="C169" s="65"/>
      <c r="D169" s="65"/>
      <c r="E169" s="65"/>
      <c r="F169" s="66" t="s">
        <v>166</v>
      </c>
      <c r="G169" s="50">
        <f>1000*2.358325</f>
        <v>2358.3249999999998</v>
      </c>
      <c r="H169" s="68" t="s">
        <v>19</v>
      </c>
    </row>
    <row r="170" ht="37.5">
      <c r="B170" s="64"/>
      <c r="C170" s="65"/>
      <c r="D170" s="65"/>
      <c r="E170" s="65"/>
      <c r="F170" s="66" t="s">
        <v>167</v>
      </c>
      <c r="G170" s="50">
        <f>1000*0.3485</f>
        <v>348.5</v>
      </c>
      <c r="H170" s="68" t="s">
        <v>19</v>
      </c>
    </row>
    <row r="171" ht="37.5">
      <c r="B171" s="64"/>
      <c r="C171" s="65"/>
      <c r="D171" s="65"/>
      <c r="E171" s="65"/>
      <c r="F171" s="66" t="s">
        <v>168</v>
      </c>
      <c r="G171" s="50">
        <f>2.4871*1000</f>
        <v>2487.0999999999999</v>
      </c>
      <c r="H171" s="68" t="s">
        <v>19</v>
      </c>
    </row>
    <row r="172" ht="37.5">
      <c r="B172" s="64"/>
      <c r="C172" s="65"/>
      <c r="D172" s="65"/>
      <c r="E172" s="65"/>
      <c r="F172" s="66" t="s">
        <v>169</v>
      </c>
      <c r="G172" s="50">
        <f>18.1280661355*1000</f>
        <v>18128.066135499997</v>
      </c>
      <c r="H172" s="68" t="s">
        <v>19</v>
      </c>
    </row>
    <row r="173" ht="56.25">
      <c r="B173" s="64"/>
      <c r="C173" s="65"/>
      <c r="D173" s="65"/>
      <c r="E173" s="65"/>
      <c r="F173" s="66" t="s">
        <v>170</v>
      </c>
      <c r="G173" s="50">
        <f>37.8617718*1000</f>
        <v>37861.771800000002</v>
      </c>
      <c r="H173" s="68" t="s">
        <v>19</v>
      </c>
      <c r="K173" s="69"/>
    </row>
    <row r="174" ht="37.5">
      <c r="B174" s="64"/>
      <c r="C174" s="65"/>
      <c r="D174" s="65"/>
      <c r="E174" s="65"/>
      <c r="F174" s="66" t="s">
        <v>171</v>
      </c>
      <c r="G174" s="50">
        <f>0.2929848255*1000</f>
        <v>292.9848255</v>
      </c>
      <c r="H174" s="68" t="s">
        <v>19</v>
      </c>
    </row>
    <row r="175" ht="37.5">
      <c r="B175" s="64"/>
      <c r="C175" s="65"/>
      <c r="D175" s="65"/>
      <c r="E175" s="65"/>
      <c r="F175" s="66" t="s">
        <v>172</v>
      </c>
      <c r="G175" s="50">
        <f>15.769093614*1000</f>
        <v>15769.093614000001</v>
      </c>
      <c r="H175" s="68" t="s">
        <v>19</v>
      </c>
    </row>
    <row r="176" ht="37.5">
      <c r="B176" s="64"/>
      <c r="C176" s="65"/>
      <c r="D176" s="65"/>
      <c r="E176" s="65"/>
      <c r="F176" s="66" t="s">
        <v>173</v>
      </c>
      <c r="G176" s="50">
        <f>1.603935652*1000</f>
        <v>1603.9356520000001</v>
      </c>
      <c r="H176" s="68" t="s">
        <v>19</v>
      </c>
    </row>
    <row r="177" ht="37.5">
      <c r="B177" s="64"/>
      <c r="C177" s="65"/>
      <c r="D177" s="65"/>
      <c r="E177" s="65"/>
      <c r="F177" s="66" t="s">
        <v>174</v>
      </c>
      <c r="G177" s="50">
        <f>0.0340153935*1000</f>
        <v>34.015393499999995</v>
      </c>
      <c r="H177" s="68" t="s">
        <v>19</v>
      </c>
    </row>
    <row r="178" ht="37.5">
      <c r="B178" s="64"/>
      <c r="C178" s="65"/>
      <c r="D178" s="65"/>
      <c r="E178" s="65"/>
      <c r="F178" s="66" t="s">
        <v>175</v>
      </c>
      <c r="G178" s="50">
        <f>1000*20.610375</f>
        <v>20610.375</v>
      </c>
      <c r="H178" s="68" t="s">
        <v>19</v>
      </c>
    </row>
    <row r="179" ht="18.75">
      <c r="B179" s="64"/>
      <c r="C179" s="65"/>
      <c r="D179" s="65"/>
      <c r="E179" s="65"/>
      <c r="F179" s="66" t="s">
        <v>176</v>
      </c>
      <c r="G179" s="50">
        <f>38.339480214*1000</f>
        <v>38339.480213999996</v>
      </c>
      <c r="H179" s="68" t="s">
        <v>19</v>
      </c>
    </row>
    <row r="180" ht="18.75">
      <c r="B180" s="64"/>
      <c r="C180" s="65"/>
      <c r="D180" s="65"/>
      <c r="E180" s="65"/>
      <c r="F180" s="66" t="s">
        <v>177</v>
      </c>
      <c r="G180" s="50">
        <f>6.38071933*1000*0.85</f>
        <v>5423.6114305000001</v>
      </c>
      <c r="H180" s="68" t="s">
        <v>35</v>
      </c>
    </row>
    <row r="181" ht="18.75">
      <c r="B181" s="64"/>
      <c r="C181" s="65"/>
      <c r="D181" s="65"/>
      <c r="E181" s="65"/>
      <c r="F181" s="43" t="s">
        <v>178</v>
      </c>
      <c r="G181" s="62">
        <f>SUM(G182:G199)</f>
        <v>201404.24788699998</v>
      </c>
      <c r="H181" s="63"/>
    </row>
    <row r="182" ht="37.5">
      <c r="B182" s="64"/>
      <c r="C182" s="65"/>
      <c r="D182" s="65"/>
      <c r="E182" s="65"/>
      <c r="F182" s="66" t="s">
        <v>179</v>
      </c>
      <c r="G182" s="50">
        <f>1000*26.548204095</f>
        <v>26548.204094999997</v>
      </c>
      <c r="H182" s="68" t="s">
        <v>19</v>
      </c>
    </row>
    <row r="183" ht="37.5">
      <c r="B183" s="64"/>
      <c r="C183" s="65"/>
      <c r="D183" s="65"/>
      <c r="E183" s="65"/>
      <c r="F183" s="66" t="s">
        <v>180</v>
      </c>
      <c r="G183" s="50">
        <f>1000*0.859704615</f>
        <v>859.70461499999999</v>
      </c>
      <c r="H183" s="68" t="s">
        <v>19</v>
      </c>
    </row>
    <row r="184" ht="18.75">
      <c r="B184" s="64"/>
      <c r="C184" s="65"/>
      <c r="D184" s="65"/>
      <c r="E184" s="65"/>
      <c r="F184" s="66" t="s">
        <v>181</v>
      </c>
      <c r="G184" s="50">
        <f>1.134*1000</f>
        <v>1134</v>
      </c>
      <c r="H184" s="68" t="s">
        <v>19</v>
      </c>
    </row>
    <row r="185" ht="37.5">
      <c r="B185" s="64"/>
      <c r="C185" s="65"/>
      <c r="D185" s="65"/>
      <c r="E185" s="65"/>
      <c r="F185" s="66" t="s">
        <v>182</v>
      </c>
      <c r="G185" s="50">
        <f>-0.904249935*1000</f>
        <v>-904.24993499999994</v>
      </c>
      <c r="H185" s="68" t="s">
        <v>19</v>
      </c>
    </row>
    <row r="186" ht="37.5">
      <c r="B186" s="64"/>
      <c r="C186" s="65"/>
      <c r="D186" s="65"/>
      <c r="E186" s="65"/>
      <c r="F186" s="66" t="s">
        <v>183</v>
      </c>
      <c r="G186" s="50">
        <f>2.684283615*1000</f>
        <v>2684.2836149999998</v>
      </c>
      <c r="H186" s="68" t="s">
        <v>19</v>
      </c>
    </row>
    <row r="187" ht="18.75">
      <c r="B187" s="64"/>
      <c r="C187" s="65"/>
      <c r="D187" s="65"/>
      <c r="E187" s="65"/>
      <c r="F187" s="66" t="s">
        <v>184</v>
      </c>
      <c r="G187" s="50">
        <f>6.93*1000</f>
        <v>6930</v>
      </c>
      <c r="H187" s="68" t="s">
        <v>19</v>
      </c>
    </row>
    <row r="188" ht="18.75">
      <c r="B188" s="64"/>
      <c r="C188" s="65"/>
      <c r="D188" s="65"/>
      <c r="E188" s="65"/>
      <c r="F188" s="66" t="s">
        <v>185</v>
      </c>
      <c r="G188" s="50">
        <f>7.592122818*1000</f>
        <v>7592.1228179999998</v>
      </c>
      <c r="H188" s="68" t="s">
        <v>19</v>
      </c>
    </row>
    <row r="189" ht="37.5">
      <c r="B189" s="64"/>
      <c r="C189" s="65"/>
      <c r="D189" s="65"/>
      <c r="E189" s="65"/>
      <c r="F189" s="66" t="s">
        <v>186</v>
      </c>
      <c r="G189" s="50">
        <f>3.628916109*1000</f>
        <v>3628.9161089999998</v>
      </c>
      <c r="H189" s="68" t="s">
        <v>19</v>
      </c>
    </row>
    <row r="190" ht="56.25">
      <c r="B190" s="64"/>
      <c r="C190" s="65"/>
      <c r="D190" s="65"/>
      <c r="E190" s="65"/>
      <c r="F190" s="66" t="s">
        <v>187</v>
      </c>
      <c r="G190" s="50">
        <f>0.27*1000</f>
        <v>270</v>
      </c>
      <c r="H190" s="68" t="s">
        <v>19</v>
      </c>
    </row>
    <row r="191" ht="37.5">
      <c r="B191" s="64"/>
      <c r="C191" s="65"/>
      <c r="D191" s="65"/>
      <c r="E191" s="65"/>
      <c r="F191" s="66" t="s">
        <v>188</v>
      </c>
      <c r="G191" s="50">
        <f>5.1192*1000</f>
        <v>5119.1999999999998</v>
      </c>
      <c r="H191" s="68" t="s">
        <v>19</v>
      </c>
    </row>
    <row r="192" ht="37.5">
      <c r="B192" s="64"/>
      <c r="C192" s="65"/>
      <c r="D192" s="65"/>
      <c r="E192" s="65"/>
      <c r="F192" s="66" t="s">
        <v>189</v>
      </c>
      <c r="G192" s="50">
        <f>1.28808189*1000</f>
        <v>1288.0818899999999</v>
      </c>
      <c r="H192" s="68" t="s">
        <v>19</v>
      </c>
    </row>
    <row r="193" ht="37.5">
      <c r="B193" s="64"/>
      <c r="C193" s="65"/>
      <c r="D193" s="65"/>
      <c r="E193" s="65"/>
      <c r="F193" s="66" t="s">
        <v>190</v>
      </c>
      <c r="G193" s="50">
        <f>0.00868527*1000</f>
        <v>8.6852700000000009</v>
      </c>
      <c r="H193" s="68" t="s">
        <v>19</v>
      </c>
    </row>
    <row r="194" ht="37.5">
      <c r="B194" s="64"/>
      <c r="C194" s="65"/>
      <c r="D194" s="65"/>
      <c r="E194" s="65"/>
      <c r="F194" s="66" t="s">
        <v>191</v>
      </c>
      <c r="G194" s="50">
        <f>0.032192505*1000</f>
        <v>32.192505000000004</v>
      </c>
      <c r="H194" s="68" t="s">
        <v>19</v>
      </c>
    </row>
    <row r="195" ht="37.5">
      <c r="B195" s="64"/>
      <c r="C195" s="65"/>
      <c r="D195" s="65"/>
      <c r="E195" s="65"/>
      <c r="F195" s="66" t="s">
        <v>192</v>
      </c>
      <c r="G195" s="50">
        <f>7.871288976*1000</f>
        <v>7871.2889759999998</v>
      </c>
      <c r="H195" s="68" t="s">
        <v>19</v>
      </c>
    </row>
    <row r="196" ht="18.75">
      <c r="B196" s="64"/>
      <c r="C196" s="65"/>
      <c r="D196" s="65"/>
      <c r="E196" s="65"/>
      <c r="F196" s="66" t="s">
        <v>193</v>
      </c>
      <c r="G196" s="50">
        <f>123.893479026*1000</f>
        <v>123893.479026</v>
      </c>
      <c r="H196" s="68" t="s">
        <v>19</v>
      </c>
    </row>
    <row r="197" ht="18.75">
      <c r="B197" s="64"/>
      <c r="C197" s="65"/>
      <c r="D197" s="65"/>
      <c r="E197" s="65"/>
      <c r="F197" s="66" t="s">
        <v>194</v>
      </c>
      <c r="G197" s="50">
        <f>4.950315*1000</f>
        <v>4950.3149999999996</v>
      </c>
      <c r="H197" s="68" t="s">
        <v>19</v>
      </c>
    </row>
    <row r="198" ht="18.75">
      <c r="B198" s="64"/>
      <c r="C198" s="65"/>
      <c r="D198" s="65"/>
      <c r="E198" s="65"/>
      <c r="F198" s="70" t="s">
        <v>195</v>
      </c>
      <c r="G198" s="50">
        <f>5.78927767*1000*0.9</f>
        <v>5210.3499029999994</v>
      </c>
      <c r="H198" s="68" t="s">
        <v>35</v>
      </c>
    </row>
    <row r="199" ht="19.5">
      <c r="B199" s="64"/>
      <c r="C199" s="65"/>
      <c r="D199" s="65"/>
      <c r="E199" s="65"/>
      <c r="F199" s="70" t="s">
        <v>196</v>
      </c>
      <c r="G199" s="50">
        <f>4.287674*1000</f>
        <v>4287.674</v>
      </c>
      <c r="H199" s="71" t="s">
        <v>35</v>
      </c>
    </row>
    <row r="200" s="33" customFormat="1" ht="19.5">
      <c r="B200" s="34"/>
      <c r="C200" s="35"/>
      <c r="D200" s="35"/>
      <c r="E200" s="35"/>
      <c r="F200" s="72" t="s">
        <v>197</v>
      </c>
      <c r="G200" s="37">
        <f>G201+G222+G236</f>
        <v>832816.11607856199</v>
      </c>
      <c r="H200" s="38"/>
    </row>
    <row r="201" ht="18.75">
      <c r="B201" s="73" t="str">
        <f>B156</f>
        <v xml:space="preserve">Об утверждении инвестиционной программы АО "ДГК" на 2024-2029 годы, и изменений, вносимых в инвестиционную программу АО "ДГК", утвержденную приказом Минэнерго России от 28.12.2023 №38@</v>
      </c>
      <c r="C201" s="74" t="str">
        <f>C13</f>
        <v xml:space="preserve">Приказ 39@ от 23.12.2024 г.</v>
      </c>
      <c r="D201" s="75" t="s">
        <v>198</v>
      </c>
      <c r="E201" s="74" t="s">
        <v>16</v>
      </c>
      <c r="F201" s="43" t="s">
        <v>199</v>
      </c>
      <c r="G201" s="44">
        <f>SUM(G202:G221)</f>
        <v>284026.76756199996</v>
      </c>
      <c r="H201" s="45"/>
    </row>
    <row r="202" ht="37.5">
      <c r="B202" s="76"/>
      <c r="C202" s="77"/>
      <c r="D202" s="78"/>
      <c r="E202" s="77"/>
      <c r="F202" s="66" t="s">
        <v>200</v>
      </c>
      <c r="G202" s="50">
        <f>0.70597401*1000</f>
        <v>705.97401000000002</v>
      </c>
      <c r="H202" s="79" t="s">
        <v>19</v>
      </c>
    </row>
    <row r="203" ht="75">
      <c r="B203" s="76"/>
      <c r="C203" s="77"/>
      <c r="D203" s="78"/>
      <c r="E203" s="77"/>
      <c r="F203" s="66" t="s">
        <v>201</v>
      </c>
      <c r="G203" s="50">
        <f>74.96969837*1000*0.9</f>
        <v>67472.728533000001</v>
      </c>
      <c r="H203" s="80" t="s">
        <v>21</v>
      </c>
      <c r="K203" s="32"/>
    </row>
    <row r="204" ht="37.5">
      <c r="B204" s="76"/>
      <c r="C204" s="77"/>
      <c r="D204" s="78"/>
      <c r="E204" s="77"/>
      <c r="F204" s="66" t="s">
        <v>202</v>
      </c>
      <c r="G204" s="50">
        <f>26.873029062*1000</f>
        <v>26873.029062000001</v>
      </c>
      <c r="H204" s="80" t="s">
        <v>19</v>
      </c>
    </row>
    <row r="205" ht="20.25" customHeight="1">
      <c r="B205" s="76"/>
      <c r="C205" s="77"/>
      <c r="D205" s="78"/>
      <c r="E205" s="77"/>
      <c r="F205" s="81" t="s">
        <v>203</v>
      </c>
      <c r="G205" s="50">
        <f>0.262581101999983*1000</f>
        <v>262.58110199998305</v>
      </c>
      <c r="H205" s="80" t="s">
        <v>19</v>
      </c>
    </row>
    <row r="206" ht="18.75" customHeight="1">
      <c r="B206" s="76"/>
      <c r="C206" s="77"/>
      <c r="D206" s="78"/>
      <c r="E206" s="77"/>
      <c r="F206" s="82"/>
      <c r="G206" s="50">
        <f>69.74394626*1000*0.9</f>
        <v>62769.551633999996</v>
      </c>
      <c r="H206" s="80" t="s">
        <v>21</v>
      </c>
    </row>
    <row r="207" ht="56.25">
      <c r="B207" s="76"/>
      <c r="C207" s="77"/>
      <c r="D207" s="78"/>
      <c r="E207" s="77"/>
      <c r="F207" s="66" t="s">
        <v>204</v>
      </c>
      <c r="G207" s="50">
        <f>1.728995*1000</f>
        <v>1728.9950000000001</v>
      </c>
      <c r="H207" s="80" t="s">
        <v>19</v>
      </c>
    </row>
    <row r="208" ht="56.25">
      <c r="B208" s="76"/>
      <c r="C208" s="77"/>
      <c r="D208" s="78"/>
      <c r="E208" s="77"/>
      <c r="F208" s="66" t="s">
        <v>205</v>
      </c>
      <c r="G208" s="50">
        <f>3.360130209*1000</f>
        <v>3360.1302089999999</v>
      </c>
      <c r="H208" s="80" t="s">
        <v>19</v>
      </c>
    </row>
    <row r="209" ht="37.5">
      <c r="B209" s="76"/>
      <c r="C209" s="77"/>
      <c r="D209" s="78"/>
      <c r="E209" s="77"/>
      <c r="F209" s="66" t="s">
        <v>206</v>
      </c>
      <c r="G209" s="50">
        <f>0.5139*1000</f>
        <v>513.89999999999998</v>
      </c>
      <c r="H209" s="80" t="s">
        <v>19</v>
      </c>
    </row>
    <row r="210" ht="37.5">
      <c r="B210" s="76"/>
      <c r="C210" s="77"/>
      <c r="D210" s="78"/>
      <c r="E210" s="77"/>
      <c r="F210" s="66" t="s">
        <v>207</v>
      </c>
      <c r="G210" s="50">
        <f>7.246874646*1000</f>
        <v>7246.8746460000002</v>
      </c>
      <c r="H210" s="80" t="s">
        <v>19</v>
      </c>
    </row>
    <row r="211" ht="37.5">
      <c r="B211" s="76"/>
      <c r="C211" s="77"/>
      <c r="D211" s="78"/>
      <c r="E211" s="77"/>
      <c r="F211" s="66" t="s">
        <v>208</v>
      </c>
      <c r="G211" s="50">
        <f>1.063035*1000</f>
        <v>1063.0349999999999</v>
      </c>
      <c r="H211" s="80" t="s">
        <v>19</v>
      </c>
    </row>
    <row r="212" ht="37.5">
      <c r="B212" s="76"/>
      <c r="C212" s="77"/>
      <c r="D212" s="78"/>
      <c r="E212" s="77"/>
      <c r="F212" s="66" t="s">
        <v>209</v>
      </c>
      <c r="G212" s="50">
        <f>0.71081597*1000</f>
        <v>710.81596999999999</v>
      </c>
      <c r="H212" s="80" t="s">
        <v>19</v>
      </c>
    </row>
    <row r="213" ht="37.5">
      <c r="B213" s="76"/>
      <c r="C213" s="77"/>
      <c r="D213" s="78"/>
      <c r="E213" s="77"/>
      <c r="F213" s="66" t="s">
        <v>210</v>
      </c>
      <c r="G213" s="50">
        <f>0.455005881*1000</f>
        <v>455.00588099999999</v>
      </c>
      <c r="H213" s="80" t="s">
        <v>19</v>
      </c>
    </row>
    <row r="214" ht="37.5">
      <c r="B214" s="76"/>
      <c r="C214" s="77"/>
      <c r="D214" s="78"/>
      <c r="E214" s="77"/>
      <c r="F214" s="66" t="s">
        <v>211</v>
      </c>
      <c r="G214" s="50">
        <f>3.15495*1000</f>
        <v>3154.9499999999998</v>
      </c>
      <c r="H214" s="80" t="s">
        <v>19</v>
      </c>
    </row>
    <row r="215" ht="37.5">
      <c r="B215" s="76"/>
      <c r="C215" s="77"/>
      <c r="D215" s="78"/>
      <c r="E215" s="77"/>
      <c r="F215" s="66" t="s">
        <v>212</v>
      </c>
      <c r="G215" s="50">
        <f>25.200223497*1000</f>
        <v>25200.223496999999</v>
      </c>
      <c r="H215" s="80" t="s">
        <v>19</v>
      </c>
    </row>
    <row r="216" ht="37.5">
      <c r="B216" s="76"/>
      <c r="C216" s="77"/>
      <c r="D216" s="78"/>
      <c r="E216" s="77"/>
      <c r="F216" s="66" t="s">
        <v>213</v>
      </c>
      <c r="G216" s="50">
        <f>0.012033675*1000</f>
        <v>12.033675000000001</v>
      </c>
      <c r="H216" s="80" t="s">
        <v>19</v>
      </c>
    </row>
    <row r="217" ht="37.5">
      <c r="B217" s="76"/>
      <c r="C217" s="77"/>
      <c r="D217" s="78"/>
      <c r="E217" s="77"/>
      <c r="F217" s="66" t="s">
        <v>214</v>
      </c>
      <c r="G217" s="50">
        <f>20.7959564*1000</f>
        <v>20795.956400000003</v>
      </c>
      <c r="H217" s="80" t="s">
        <v>19</v>
      </c>
    </row>
    <row r="218" ht="56.25">
      <c r="B218" s="76"/>
      <c r="C218" s="77"/>
      <c r="D218" s="78"/>
      <c r="E218" s="77"/>
      <c r="F218" s="66" t="s">
        <v>215</v>
      </c>
      <c r="G218" s="50">
        <f>37.652558085*1000</f>
        <v>37652.558085000004</v>
      </c>
      <c r="H218" s="80" t="s">
        <v>19</v>
      </c>
    </row>
    <row r="219" ht="75">
      <c r="B219" s="76"/>
      <c r="C219" s="77"/>
      <c r="D219" s="78"/>
      <c r="E219" s="77"/>
      <c r="F219" s="66" t="s">
        <v>216</v>
      </c>
      <c r="G219" s="50">
        <f>0.066789*1000</f>
        <v>66.789000000000001</v>
      </c>
      <c r="H219" s="80" t="s">
        <v>19</v>
      </c>
    </row>
    <row r="220" ht="18.75">
      <c r="B220" s="76"/>
      <c r="C220" s="77"/>
      <c r="D220" s="78"/>
      <c r="E220" s="77"/>
      <c r="F220" s="70" t="s">
        <v>217</v>
      </c>
      <c r="G220" s="50">
        <f>19.109686063*1000</f>
        <v>19109.686063000001</v>
      </c>
      <c r="H220" s="80" t="s">
        <v>19</v>
      </c>
    </row>
    <row r="221" ht="18.75">
      <c r="B221" s="76"/>
      <c r="C221" s="77"/>
      <c r="D221" s="78"/>
      <c r="E221" s="77"/>
      <c r="F221" s="70" t="s">
        <v>218</v>
      </c>
      <c r="G221" s="57">
        <f>5.41327755*1000*0.9</f>
        <v>4871.9497949999995</v>
      </c>
      <c r="H221" s="83" t="s">
        <v>35</v>
      </c>
    </row>
    <row r="222" ht="18.75">
      <c r="B222" s="76"/>
      <c r="C222" s="77"/>
      <c r="D222" s="78"/>
      <c r="E222" s="77"/>
      <c r="F222" s="43" t="s">
        <v>219</v>
      </c>
      <c r="G222" s="44">
        <f>SUM(G223:G235)</f>
        <v>485131.22028400004</v>
      </c>
      <c r="H222" s="45"/>
      <c r="N222" s="21"/>
    </row>
    <row r="223" ht="56.25">
      <c r="B223" s="76"/>
      <c r="C223" s="77"/>
      <c r="D223" s="78"/>
      <c r="E223" s="77"/>
      <c r="F223" s="66" t="s">
        <v>220</v>
      </c>
      <c r="G223" s="50">
        <f>20.20708644*1000*0.9</f>
        <v>18186.377796000004</v>
      </c>
      <c r="H223" s="80" t="s">
        <v>21</v>
      </c>
      <c r="K223" s="32"/>
      <c r="N223" s="32"/>
    </row>
    <row r="224" ht="18.75" customHeight="1">
      <c r="B224" s="76"/>
      <c r="C224" s="77"/>
      <c r="D224" s="78"/>
      <c r="E224" s="77"/>
      <c r="F224" s="81" t="s">
        <v>221</v>
      </c>
      <c r="G224" s="50">
        <f>0.471012911999999*1000</f>
        <v>471.01291199999901</v>
      </c>
      <c r="H224" s="80" t="s">
        <v>19</v>
      </c>
    </row>
    <row r="225" ht="18.75" customHeight="1">
      <c r="B225" s="76"/>
      <c r="C225" s="77"/>
      <c r="D225" s="78"/>
      <c r="E225" s="77"/>
      <c r="F225" s="82"/>
      <c r="G225" s="50">
        <f>20.43884074*1000*0.9</f>
        <v>18394.956666000002</v>
      </c>
      <c r="H225" s="80" t="s">
        <v>21</v>
      </c>
    </row>
    <row r="226" ht="37.5">
      <c r="B226" s="76"/>
      <c r="C226" s="77"/>
      <c r="D226" s="78"/>
      <c r="E226" s="77"/>
      <c r="F226" s="66" t="s">
        <v>222</v>
      </c>
      <c r="G226" s="50">
        <f>159.073274034*1000</f>
        <v>159073.274034</v>
      </c>
      <c r="H226" s="80" t="s">
        <v>19</v>
      </c>
    </row>
    <row r="227" ht="37.5">
      <c r="B227" s="76"/>
      <c r="C227" s="77"/>
      <c r="D227" s="78"/>
      <c r="E227" s="77"/>
      <c r="F227" s="70" t="s">
        <v>223</v>
      </c>
      <c r="G227" s="50">
        <f>108.89189248*1000*0.9</f>
        <v>98002.703232</v>
      </c>
      <c r="H227" s="80" t="s">
        <v>21</v>
      </c>
    </row>
    <row r="228" ht="37.5">
      <c r="B228" s="76"/>
      <c r="C228" s="77"/>
      <c r="D228" s="78"/>
      <c r="E228" s="77"/>
      <c r="F228" s="70" t="s">
        <v>224</v>
      </c>
      <c r="G228" s="50">
        <f>16.2446274*1000</f>
        <v>16244.627399999999</v>
      </c>
      <c r="H228" s="80" t="s">
        <v>19</v>
      </c>
    </row>
    <row r="229" ht="37.5">
      <c r="B229" s="76"/>
      <c r="C229" s="77"/>
      <c r="D229" s="78"/>
      <c r="E229" s="77"/>
      <c r="F229" s="66" t="s">
        <v>225</v>
      </c>
      <c r="G229" s="50">
        <f>1000*15.34874529</f>
        <v>15348.745290000001</v>
      </c>
      <c r="H229" s="80" t="s">
        <v>19</v>
      </c>
    </row>
    <row r="230" ht="37.5">
      <c r="B230" s="76"/>
      <c r="C230" s="77"/>
      <c r="D230" s="78"/>
      <c r="E230" s="77"/>
      <c r="F230" s="66" t="s">
        <v>226</v>
      </c>
      <c r="G230" s="50">
        <f>1000*13.16334201</f>
        <v>13163.342009999998</v>
      </c>
      <c r="H230" s="80" t="s">
        <v>19</v>
      </c>
    </row>
    <row r="231" ht="37.5">
      <c r="B231" s="76"/>
      <c r="C231" s="77"/>
      <c r="D231" s="78"/>
      <c r="E231" s="77"/>
      <c r="F231" s="66" t="s">
        <v>227</v>
      </c>
      <c r="G231" s="50">
        <f>1000*9.13398646</f>
        <v>9133.9864599999983</v>
      </c>
      <c r="H231" s="80" t="s">
        <v>19</v>
      </c>
      <c r="K231" s="32"/>
    </row>
    <row r="232" ht="37.5">
      <c r="B232" s="76"/>
      <c r="C232" s="77"/>
      <c r="D232" s="78"/>
      <c r="E232" s="77"/>
      <c r="F232" s="66" t="s">
        <v>228</v>
      </c>
      <c r="G232" s="50">
        <f>0.675*1000</f>
        <v>675</v>
      </c>
      <c r="H232" s="80" t="s">
        <v>19</v>
      </c>
    </row>
    <row r="233" ht="18.75" customHeight="1">
      <c r="B233" s="76"/>
      <c r="C233" s="77"/>
      <c r="D233" s="78"/>
      <c r="E233" s="77"/>
      <c r="F233" s="81" t="s">
        <v>229</v>
      </c>
      <c r="G233" s="50">
        <f>127.41795234*1000</f>
        <v>127417.95234</v>
      </c>
      <c r="H233" s="80" t="s">
        <v>19</v>
      </c>
    </row>
    <row r="234" ht="18.75" customHeight="1">
      <c r="B234" s="76"/>
      <c r="C234" s="77"/>
      <c r="D234" s="78"/>
      <c r="E234" s="77"/>
      <c r="F234" s="82"/>
      <c r="G234" s="50">
        <f>4.5423*1000*0.9</f>
        <v>4088.0700000000002</v>
      </c>
      <c r="H234" s="80" t="s">
        <v>68</v>
      </c>
    </row>
    <row r="235" ht="18.75">
      <c r="B235" s="76"/>
      <c r="C235" s="77"/>
      <c r="D235" s="78"/>
      <c r="E235" s="77"/>
      <c r="F235" s="70" t="s">
        <v>230</v>
      </c>
      <c r="G235" s="50">
        <f>5.47908016*1000*0.9</f>
        <v>4931.1721440000001</v>
      </c>
      <c r="H235" s="84" t="s">
        <v>35</v>
      </c>
    </row>
    <row r="236" ht="18.75">
      <c r="B236" s="76"/>
      <c r="C236" s="77"/>
      <c r="D236" s="78"/>
      <c r="E236" s="77"/>
      <c r="F236" s="43" t="s">
        <v>231</v>
      </c>
      <c r="G236" s="44">
        <f>SUM(G237:G244)</f>
        <v>63658.128232561998</v>
      </c>
      <c r="H236" s="45"/>
    </row>
    <row r="237" ht="37.5">
      <c r="B237" s="76"/>
      <c r="C237" s="77"/>
      <c r="D237" s="78"/>
      <c r="E237" s="77"/>
      <c r="F237" s="82" t="s">
        <v>232</v>
      </c>
      <c r="G237" s="57">
        <f>18.601494815412*1000</f>
        <v>18601.494815411999</v>
      </c>
      <c r="H237" s="83" t="s">
        <v>19</v>
      </c>
    </row>
    <row r="238" ht="18.75">
      <c r="B238" s="76"/>
      <c r="C238" s="77"/>
      <c r="D238" s="78"/>
      <c r="E238" s="77"/>
      <c r="F238" s="82" t="s">
        <v>233</v>
      </c>
      <c r="G238" s="57">
        <f>0.70874432*1000</f>
        <v>708.74432000000002</v>
      </c>
      <c r="H238" s="83" t="s">
        <v>19</v>
      </c>
    </row>
    <row r="239" ht="37.5">
      <c r="B239" s="76"/>
      <c r="C239" s="77"/>
      <c r="D239" s="78"/>
      <c r="E239" s="77"/>
      <c r="F239" s="82" t="s">
        <v>234</v>
      </c>
      <c r="G239" s="57">
        <f>21.322024047106*1000</f>
        <v>21322.024047106002</v>
      </c>
      <c r="H239" s="83" t="s">
        <v>19</v>
      </c>
    </row>
    <row r="240" ht="37.5">
      <c r="B240" s="76"/>
      <c r="C240" s="77"/>
      <c r="D240" s="78"/>
      <c r="E240" s="77"/>
      <c r="F240" s="82" t="s">
        <v>235</v>
      </c>
      <c r="G240" s="57">
        <f>0.2391495*1000</f>
        <v>239.14949999999999</v>
      </c>
      <c r="H240" s="83" t="s">
        <v>19</v>
      </c>
    </row>
    <row r="241" ht="75">
      <c r="B241" s="76"/>
      <c r="C241" s="77"/>
      <c r="D241" s="78"/>
      <c r="E241" s="77"/>
      <c r="F241" s="82" t="s">
        <v>236</v>
      </c>
      <c r="G241" s="57">
        <f>5.610318*1000</f>
        <v>5610.3180000000002</v>
      </c>
      <c r="H241" s="83" t="s">
        <v>19</v>
      </c>
    </row>
    <row r="242" ht="56.25">
      <c r="B242" s="76"/>
      <c r="C242" s="77"/>
      <c r="D242" s="78"/>
      <c r="E242" s="77"/>
      <c r="F242" s="82" t="s">
        <v>237</v>
      </c>
      <c r="G242" s="57">
        <f>0.18020238*1000</f>
        <v>180.20238000000001</v>
      </c>
      <c r="H242" s="83" t="s">
        <v>19</v>
      </c>
    </row>
    <row r="243" ht="18.75">
      <c r="B243" s="76"/>
      <c r="C243" s="77"/>
      <c r="D243" s="78"/>
      <c r="E243" s="77"/>
      <c r="F243" s="66" t="s">
        <v>217</v>
      </c>
      <c r="G243" s="50">
        <f>12.889121235656*1000</f>
        <v>12889.121235656001</v>
      </c>
      <c r="H243" s="80" t="s">
        <v>19</v>
      </c>
    </row>
    <row r="244" ht="19.5">
      <c r="B244" s="85"/>
      <c r="C244" s="86"/>
      <c r="D244" s="87"/>
      <c r="E244" s="86"/>
      <c r="F244" s="66" t="s">
        <v>218</v>
      </c>
      <c r="G244" s="50">
        <f>4.76569266*1000*(1-0.1382)</f>
        <v>4107.0739343879995</v>
      </c>
      <c r="H244" s="80" t="s">
        <v>35</v>
      </c>
    </row>
    <row r="245" s="33" customFormat="1" ht="19.5">
      <c r="B245" s="34"/>
      <c r="C245" s="35"/>
      <c r="D245" s="35"/>
      <c r="E245" s="35"/>
      <c r="F245" s="36" t="s">
        <v>238</v>
      </c>
      <c r="G245" s="37">
        <f>G246</f>
        <v>1978341.2000406741</v>
      </c>
      <c r="H245" s="88"/>
    </row>
    <row r="246" ht="18.75">
      <c r="B246" s="40" t="str">
        <f>B201</f>
        <v xml:space="preserve">Об утверждении инвестиционной программы АО "ДГК" на 2024-2029 годы, и изменений, вносимых в инвестиционную программу АО "ДГК", утвержденную приказом Минэнерго России от 28.12.2023 №38@</v>
      </c>
      <c r="C246" s="42" t="str">
        <f>C201</f>
        <v xml:space="preserve">Приказ 39@ от 23.12.2024 г.</v>
      </c>
      <c r="D246" s="42" t="s">
        <v>239</v>
      </c>
      <c r="E246" s="41" t="s">
        <v>16</v>
      </c>
      <c r="F246" s="43" t="s">
        <v>240</v>
      </c>
      <c r="G246" s="62">
        <f>SUM(G247:G278)</f>
        <v>1978341.2000406741</v>
      </c>
      <c r="H246" s="45"/>
    </row>
    <row r="247" ht="37.5">
      <c r="B247" s="46"/>
      <c r="C247" s="48"/>
      <c r="D247" s="48"/>
      <c r="E247" s="47"/>
      <c r="F247" s="66" t="s">
        <v>241</v>
      </c>
      <c r="G247" s="67">
        <f>3.56007312*1000*0.85</f>
        <v>3026.062152</v>
      </c>
      <c r="H247" s="51" t="s">
        <v>21</v>
      </c>
    </row>
    <row r="248" ht="37.5">
      <c r="B248" s="46"/>
      <c r="C248" s="48"/>
      <c r="D248" s="48"/>
      <c r="E248" s="47"/>
      <c r="F248" s="66" t="s">
        <v>242</v>
      </c>
      <c r="G248" s="67">
        <f>0.2033617605*1000</f>
        <v>203.3617605</v>
      </c>
      <c r="H248" s="51" t="s">
        <v>19</v>
      </c>
    </row>
    <row r="249" ht="37.5">
      <c r="B249" s="46"/>
      <c r="C249" s="48"/>
      <c r="D249" s="48"/>
      <c r="E249" s="47"/>
      <c r="F249" s="81" t="s">
        <v>243</v>
      </c>
      <c r="G249" s="67">
        <f>-0.1215822*1000</f>
        <v>-121.5822</v>
      </c>
      <c r="H249" s="51" t="s">
        <v>244</v>
      </c>
      <c r="K249" s="32">
        <f>G248+G250+G256+G259+G261+G264+G265+G267+G268+G269+G270+G272+G273+G274</f>
        <v>900665.39794767427</v>
      </c>
      <c r="L249" s="1"/>
    </row>
    <row r="250" ht="18.75" customHeight="1">
      <c r="B250" s="46"/>
      <c r="C250" s="48"/>
      <c r="D250" s="48"/>
      <c r="E250" s="47"/>
      <c r="F250" s="81" t="s">
        <v>245</v>
      </c>
      <c r="G250" s="67">
        <f>459.985045139312*1000</f>
        <v>459985.04513931199</v>
      </c>
      <c r="H250" s="51" t="s">
        <v>19</v>
      </c>
    </row>
    <row r="251" ht="18.75" customHeight="1">
      <c r="B251" s="46"/>
      <c r="C251" s="48"/>
      <c r="D251" s="48"/>
      <c r="E251" s="47"/>
      <c r="F251" s="82"/>
      <c r="G251" s="67">
        <f>415.01653572*1000*0.85</f>
        <v>352764.05536199996</v>
      </c>
      <c r="H251" s="51" t="s">
        <v>21</v>
      </c>
    </row>
    <row r="252" ht="37.5">
      <c r="B252" s="46"/>
      <c r="C252" s="48"/>
      <c r="D252" s="48"/>
      <c r="E252" s="47"/>
      <c r="F252" s="82" t="s">
        <v>246</v>
      </c>
      <c r="G252" s="67">
        <f>5.29176*1000*0.85</f>
        <v>4497.9960000000001</v>
      </c>
      <c r="H252" s="51" t="s">
        <v>21</v>
      </c>
    </row>
    <row r="253" ht="37.5">
      <c r="B253" s="46"/>
      <c r="C253" s="48"/>
      <c r="D253" s="48"/>
      <c r="E253" s="47"/>
      <c r="F253" s="82" t="s">
        <v>247</v>
      </c>
      <c r="G253" s="67">
        <f>5.0575344*1000*0.85</f>
        <v>4298.9042399999998</v>
      </c>
      <c r="H253" s="51" t="s">
        <v>21</v>
      </c>
    </row>
    <row r="254" ht="37.5">
      <c r="B254" s="46"/>
      <c r="C254" s="48"/>
      <c r="D254" s="48"/>
      <c r="E254" s="47"/>
      <c r="F254" s="82" t="s">
        <v>248</v>
      </c>
      <c r="G254" s="67">
        <f>62.69992257*1000</f>
        <v>62699.922569999995</v>
      </c>
      <c r="H254" s="51" t="s">
        <v>21</v>
      </c>
    </row>
    <row r="255" ht="56.25">
      <c r="B255" s="46"/>
      <c r="C255" s="48"/>
      <c r="D255" s="48"/>
      <c r="E255" s="47"/>
      <c r="F255" s="82" t="s">
        <v>249</v>
      </c>
      <c r="G255" s="67">
        <f>101.02950717*0.85*1000</f>
        <v>85875.081094499998</v>
      </c>
      <c r="H255" s="51" t="s">
        <v>21</v>
      </c>
    </row>
    <row r="256" ht="19.5" customHeight="1">
      <c r="B256" s="46"/>
      <c r="C256" s="48"/>
      <c r="D256" s="48"/>
      <c r="E256" s="47"/>
      <c r="F256" s="81" t="s">
        <v>250</v>
      </c>
      <c r="G256" s="67">
        <f>0.14021226*1000</f>
        <v>140.21226000000001</v>
      </c>
      <c r="H256" s="51" t="s">
        <v>19</v>
      </c>
    </row>
    <row r="257" ht="18.75" customHeight="1">
      <c r="B257" s="46"/>
      <c r="C257" s="48"/>
      <c r="D257" s="48"/>
      <c r="E257" s="47"/>
      <c r="F257" s="82"/>
      <c r="G257" s="67">
        <f>192.98740815*0.85*1000</f>
        <v>164039.29692749996</v>
      </c>
      <c r="H257" s="51" t="s">
        <v>21</v>
      </c>
    </row>
    <row r="258" ht="75">
      <c r="B258" s="46"/>
      <c r="C258" s="48"/>
      <c r="D258" s="48"/>
      <c r="E258" s="47"/>
      <c r="F258" s="82" t="s">
        <v>251</v>
      </c>
      <c r="G258" s="67">
        <f>111.81184445*1000</f>
        <v>111811.84444999999</v>
      </c>
      <c r="H258" s="51" t="s">
        <v>21</v>
      </c>
    </row>
    <row r="259" ht="15" customHeight="1">
      <c r="B259" s="46"/>
      <c r="C259" s="48"/>
      <c r="D259" s="48"/>
      <c r="E259" s="47"/>
      <c r="F259" s="81" t="s">
        <v>252</v>
      </c>
      <c r="G259" s="67">
        <f>4.62315*1000</f>
        <v>4623.1499999999996</v>
      </c>
      <c r="H259" s="51" t="s">
        <v>19</v>
      </c>
    </row>
    <row r="260" ht="18.75" customHeight="1">
      <c r="B260" s="46"/>
      <c r="C260" s="48"/>
      <c r="D260" s="48"/>
      <c r="E260" s="47"/>
      <c r="F260" s="82"/>
      <c r="G260" s="67">
        <f>44.38224*1000</f>
        <v>44382.240000000005</v>
      </c>
      <c r="H260" s="51" t="s">
        <v>21</v>
      </c>
    </row>
    <row r="261" ht="18.75" customHeight="1">
      <c r="B261" s="46"/>
      <c r="C261" s="48"/>
      <c r="D261" s="48"/>
      <c r="E261" s="47"/>
      <c r="F261" s="81" t="s">
        <v>253</v>
      </c>
      <c r="G261" s="67">
        <f>328.33392323*1000</f>
        <v>328333.92322999996</v>
      </c>
      <c r="H261" s="51" t="s">
        <v>19</v>
      </c>
    </row>
    <row r="262" ht="18.75" customHeight="1">
      <c r="B262" s="46"/>
      <c r="C262" s="48"/>
      <c r="D262" s="48"/>
      <c r="E262" s="47"/>
      <c r="F262" s="82"/>
      <c r="G262" s="67">
        <f>111.49541996*0.85*1000</f>
        <v>94771.106966000007</v>
      </c>
      <c r="H262" s="51" t="s">
        <v>254</v>
      </c>
    </row>
    <row r="263" ht="56.25">
      <c r="B263" s="46"/>
      <c r="C263" s="48"/>
      <c r="D263" s="48"/>
      <c r="E263" s="47"/>
      <c r="F263" s="82" t="s">
        <v>255</v>
      </c>
      <c r="G263" s="67">
        <f>10.76879433*0.8*1000</f>
        <v>8615.0354640000005</v>
      </c>
      <c r="H263" s="51" t="s">
        <v>21</v>
      </c>
    </row>
    <row r="264" ht="37.5">
      <c r="B264" s="46"/>
      <c r="C264" s="48"/>
      <c r="D264" s="48"/>
      <c r="E264" s="47"/>
      <c r="F264" s="82" t="s">
        <v>256</v>
      </c>
      <c r="G264" s="67">
        <f>25.8464707185*1000</f>
        <v>25846.470718500001</v>
      </c>
      <c r="H264" s="51" t="s">
        <v>19</v>
      </c>
    </row>
    <row r="265" ht="37.5">
      <c r="B265" s="46"/>
      <c r="C265" s="48"/>
      <c r="D265" s="48"/>
      <c r="E265" s="47"/>
      <c r="F265" s="82" t="s">
        <v>257</v>
      </c>
      <c r="G265" s="67">
        <f>8.90451566536238*1000</f>
        <v>8904.5156653623799</v>
      </c>
      <c r="H265" s="51" t="s">
        <v>19</v>
      </c>
    </row>
    <row r="266" ht="37.5">
      <c r="B266" s="46"/>
      <c r="C266" s="48"/>
      <c r="D266" s="48"/>
      <c r="E266" s="47"/>
      <c r="F266" s="82" t="s">
        <v>258</v>
      </c>
      <c r="G266" s="67">
        <f>178.04402803*1000*0.9</f>
        <v>160239.62522699998</v>
      </c>
      <c r="H266" s="51" t="s">
        <v>21</v>
      </c>
    </row>
    <row r="267" ht="37.5">
      <c r="B267" s="46"/>
      <c r="C267" s="48"/>
      <c r="D267" s="48"/>
      <c r="E267" s="47"/>
      <c r="F267" s="82" t="s">
        <v>259</v>
      </c>
      <c r="G267" s="67">
        <f>0.6482029535*1000</f>
        <v>648.20295350000004</v>
      </c>
      <c r="H267" s="51" t="s">
        <v>19</v>
      </c>
    </row>
    <row r="268" ht="18.75">
      <c r="B268" s="46"/>
      <c r="C268" s="48"/>
      <c r="D268" s="48"/>
      <c r="E268" s="47"/>
      <c r="F268" s="82" t="s">
        <v>260</v>
      </c>
      <c r="G268" s="67">
        <f>0.6459357*1000</f>
        <v>645.9357</v>
      </c>
      <c r="H268" s="51" t="s">
        <v>19</v>
      </c>
    </row>
    <row r="269" ht="18.75">
      <c r="B269" s="46"/>
      <c r="C269" s="48"/>
      <c r="D269" s="48"/>
      <c r="E269" s="47"/>
      <c r="F269" s="82" t="s">
        <v>261</v>
      </c>
      <c r="G269" s="67">
        <f>1.3026856305*1000</f>
        <v>1302.6856305000001</v>
      </c>
      <c r="H269" s="51" t="s">
        <v>19</v>
      </c>
    </row>
    <row r="270" ht="18.75">
      <c r="B270" s="46"/>
      <c r="C270" s="48"/>
      <c r="D270" s="48"/>
      <c r="E270" s="47"/>
      <c r="F270" s="82" t="s">
        <v>262</v>
      </c>
      <c r="G270" s="67">
        <f>2.932348*1000</f>
        <v>2932.348</v>
      </c>
      <c r="H270" s="51" t="s">
        <v>19</v>
      </c>
    </row>
    <row r="271" ht="37.5">
      <c r="B271" s="46"/>
      <c r="C271" s="48"/>
      <c r="D271" s="48"/>
      <c r="E271" s="47"/>
      <c r="F271" s="82" t="s">
        <v>263</v>
      </c>
      <c r="G271" s="67">
        <f>-36.44860116*1000*0.9</f>
        <v>-32803.741044000009</v>
      </c>
      <c r="H271" s="51" t="s">
        <v>21</v>
      </c>
    </row>
    <row r="272" ht="75">
      <c r="B272" s="46"/>
      <c r="C272" s="48"/>
      <c r="D272" s="48"/>
      <c r="E272" s="47"/>
      <c r="F272" s="82" t="s">
        <v>264</v>
      </c>
      <c r="G272" s="67">
        <f>2.45443273*1000</f>
        <v>2454.43273</v>
      </c>
      <c r="H272" s="51" t="s">
        <v>19</v>
      </c>
    </row>
    <row r="273" ht="56.25">
      <c r="B273" s="46"/>
      <c r="C273" s="48"/>
      <c r="D273" s="48"/>
      <c r="E273" s="47"/>
      <c r="F273" s="82" t="s">
        <v>265</v>
      </c>
      <c r="G273" s="67">
        <f>2.29556726*1000</f>
        <v>2295.5672599999998</v>
      </c>
      <c r="H273" s="51" t="s">
        <v>19</v>
      </c>
    </row>
    <row r="274" ht="18.75" customHeight="1">
      <c r="B274" s="46"/>
      <c r="C274" s="48"/>
      <c r="D274" s="48"/>
      <c r="E274" s="47"/>
      <c r="F274" s="81" t="s">
        <v>266</v>
      </c>
      <c r="G274" s="67">
        <f>62.3495469*1000</f>
        <v>62349.546900000001</v>
      </c>
      <c r="H274" s="51" t="s">
        <v>19</v>
      </c>
    </row>
    <row r="275" ht="18.75" customHeight="1">
      <c r="B275" s="46"/>
      <c r="C275" s="48"/>
      <c r="D275" s="48"/>
      <c r="E275" s="47"/>
      <c r="F275" s="89"/>
      <c r="G275" s="90">
        <f>4.01410583*1000*0.9</f>
        <v>3612.6952470000001</v>
      </c>
      <c r="H275" s="91" t="s">
        <v>68</v>
      </c>
    </row>
    <row r="276" ht="18.75" customHeight="1">
      <c r="B276" s="46"/>
      <c r="C276" s="48"/>
      <c r="D276" s="48"/>
      <c r="E276" s="47"/>
      <c r="F276" s="89"/>
      <c r="G276" s="90">
        <f>0.20731888*1000*0.9</f>
        <v>186.58699200000001</v>
      </c>
      <c r="H276" s="91" t="s">
        <v>267</v>
      </c>
    </row>
    <row r="277" ht="18.75" customHeight="1">
      <c r="B277" s="46"/>
      <c r="C277" s="48"/>
      <c r="D277" s="48"/>
      <c r="E277" s="47"/>
      <c r="F277" s="89"/>
      <c r="G277" s="90">
        <f>0.62375*1000*0.85</f>
        <v>530.1875</v>
      </c>
      <c r="H277" s="91" t="s">
        <v>137</v>
      </c>
    </row>
    <row r="278" ht="19.5">
      <c r="B278" s="46"/>
      <c r="C278" s="48"/>
      <c r="D278" s="48"/>
      <c r="E278" s="47"/>
      <c r="F278" s="89" t="s">
        <v>268</v>
      </c>
      <c r="G278" s="90">
        <f>10.8829237*1000*0.85</f>
        <v>9250.4851449999987</v>
      </c>
      <c r="H278" s="92" t="s">
        <v>35</v>
      </c>
    </row>
    <row r="279" ht="21.75" customHeight="1">
      <c r="B279" s="93" t="s">
        <v>269</v>
      </c>
      <c r="C279" s="94"/>
      <c r="D279" s="94"/>
      <c r="E279" s="95"/>
      <c r="F279" s="96" t="s">
        <v>19</v>
      </c>
      <c r="G279" s="97">
        <f>SUMIF(H14:H278,"Амортизация",G14:G278)</f>
        <v>3856271.8594804439</v>
      </c>
      <c r="H279" s="98"/>
    </row>
    <row r="280" ht="21.75" customHeight="1">
      <c r="B280" s="99"/>
      <c r="C280" s="100"/>
      <c r="D280" s="100"/>
      <c r="E280" s="101"/>
      <c r="F280" s="96" t="s">
        <v>21</v>
      </c>
      <c r="G280" s="97">
        <f>SUMIF(H14:H278,"Займ РусГидро",G14:G278)</f>
        <v>6498720.3056824999</v>
      </c>
      <c r="H280" s="98"/>
    </row>
    <row r="281" ht="21.75" customHeight="1">
      <c r="B281" s="99"/>
      <c r="C281" s="100"/>
      <c r="D281" s="100"/>
      <c r="E281" s="101"/>
      <c r="F281" s="96" t="s">
        <v>137</v>
      </c>
      <c r="G281" s="97">
        <f>SUMIF(H14:H278,"Повышающий коэффициент",G14:G278)</f>
        <v>1621.75</v>
      </c>
      <c r="H281" s="98"/>
      <c r="N281" s="32"/>
    </row>
    <row r="282" ht="21.75" customHeight="1">
      <c r="B282" s="99"/>
      <c r="C282" s="100"/>
      <c r="D282" s="100"/>
      <c r="E282" s="101"/>
      <c r="F282" s="96" t="s">
        <v>244</v>
      </c>
      <c r="G282" s="97">
        <f>SUMIF(H14:H278,"Средства от компенсации (ФСК)",G14:G278)</f>
        <v>-121.5822</v>
      </c>
      <c r="H282" s="98"/>
    </row>
    <row r="283" ht="21.75" customHeight="1">
      <c r="B283" s="99"/>
      <c r="C283" s="100"/>
      <c r="D283" s="100"/>
      <c r="E283" s="101"/>
      <c r="F283" s="96" t="s">
        <v>68</v>
      </c>
      <c r="G283" s="97">
        <f>SUMIF(H13:H278,"Средства от реализации активов",G13:G278)</f>
        <v>81920.149676500005</v>
      </c>
      <c r="H283" s="98"/>
    </row>
    <row r="284" ht="21.75" customHeight="1">
      <c r="B284" s="99"/>
      <c r="C284" s="100"/>
      <c r="D284" s="100"/>
      <c r="E284" s="101"/>
      <c r="F284" s="96" t="s">
        <v>35</v>
      </c>
      <c r="G284" s="97">
        <f>SUMIF(H13:H278,"Выручка по себестоимости",G13:G278)</f>
        <v>196769.33616788802</v>
      </c>
      <c r="H284" s="98"/>
    </row>
    <row r="285" ht="21.75" customHeight="1">
      <c r="B285" s="99"/>
      <c r="C285" s="100"/>
      <c r="D285" s="100"/>
      <c r="E285" s="101"/>
      <c r="F285" s="96" t="s">
        <v>267</v>
      </c>
      <c r="G285" s="97">
        <f>SUMIF(H14:H279,"Прочая прибыль",G14:G279)</f>
        <v>186.58699200000001</v>
      </c>
      <c r="H285" s="98"/>
    </row>
    <row r="286" ht="21.75" customHeight="1">
      <c r="B286" s="99"/>
      <c r="C286" s="100"/>
      <c r="D286" s="100"/>
      <c r="E286" s="101"/>
      <c r="F286" s="96" t="s">
        <v>254</v>
      </c>
      <c r="G286" s="97">
        <f>SUMIF(H15:H280,"Экономия по торгам,от закупок",G15:G280)</f>
        <v>94771.106966000007</v>
      </c>
      <c r="H286" s="98"/>
    </row>
    <row r="287" ht="21.75" customHeight="1">
      <c r="B287" s="99"/>
      <c r="C287" s="100"/>
      <c r="D287" s="100"/>
      <c r="E287" s="101"/>
      <c r="F287" s="96" t="s">
        <v>55</v>
      </c>
      <c r="G287" s="97">
        <f>SUMIF(H16:H281,"Возмещение по страх.случаю",G16:G281)</f>
        <v>-123315.48428049999</v>
      </c>
      <c r="H287" s="98"/>
    </row>
    <row r="288" ht="24">
      <c r="B288" s="102"/>
      <c r="C288" s="103"/>
      <c r="D288" s="103"/>
      <c r="E288" s="104"/>
      <c r="F288" s="96" t="s">
        <v>140</v>
      </c>
      <c r="G288" s="97">
        <f>SUMIF(H16:H281,"Предпринимательская прибыль",G16:G281)</f>
        <v>154836.21674999999</v>
      </c>
      <c r="H288" s="98"/>
    </row>
    <row r="289" ht="48.75" customHeight="1">
      <c r="B289" s="105"/>
      <c r="C289" s="105"/>
      <c r="D289" s="105"/>
      <c r="E289" s="105"/>
      <c r="F289" s="105"/>
      <c r="G289" s="105"/>
      <c r="H289" s="105"/>
    </row>
    <row r="290" ht="23.25">
      <c r="B290" s="106"/>
    </row>
    <row r="292">
      <c r="H292" s="32"/>
    </row>
    <row r="293">
      <c r="H293" s="32"/>
    </row>
    <row r="294">
      <c r="H294" s="32"/>
    </row>
  </sheetData>
  <autoFilter ref="B9:H288"/>
  <mergeCells count="51">
    <mergeCell ref="B2:H2"/>
    <mergeCell ref="B5:H5"/>
    <mergeCell ref="B6:B9"/>
    <mergeCell ref="C6:C9"/>
    <mergeCell ref="D6:D9"/>
    <mergeCell ref="E6:E9"/>
    <mergeCell ref="F6:H6"/>
    <mergeCell ref="F7:F9"/>
    <mergeCell ref="G7:G9"/>
    <mergeCell ref="H7:H9"/>
    <mergeCell ref="B13:B154"/>
    <mergeCell ref="C13:C154"/>
    <mergeCell ref="D13:D154"/>
    <mergeCell ref="E13:E154"/>
    <mergeCell ref="F44:F45"/>
    <mergeCell ref="F48:F49"/>
    <mergeCell ref="F50:F51"/>
    <mergeCell ref="F52:F53"/>
    <mergeCell ref="F55:F56"/>
    <mergeCell ref="F64:F65"/>
    <mergeCell ref="F86:F87"/>
    <mergeCell ref="F91:F92"/>
    <mergeCell ref="F93:F94"/>
    <mergeCell ref="F95:F96"/>
    <mergeCell ref="F103:F104"/>
    <mergeCell ref="F112:F113"/>
    <mergeCell ref="F124:F125"/>
    <mergeCell ref="F140:F141"/>
    <mergeCell ref="F151:F152"/>
    <mergeCell ref="B156:B199"/>
    <mergeCell ref="C156:C199"/>
    <mergeCell ref="D156:D199"/>
    <mergeCell ref="E156:E199"/>
    <mergeCell ref="B201:B244"/>
    <mergeCell ref="C201:C244"/>
    <mergeCell ref="D201:D244"/>
    <mergeCell ref="E201:E244"/>
    <mergeCell ref="F205:F206"/>
    <mergeCell ref="F224:F225"/>
    <mergeCell ref="F233:F234"/>
    <mergeCell ref="B246:B278"/>
    <mergeCell ref="C246:C278"/>
    <mergeCell ref="D246:D278"/>
    <mergeCell ref="E246:E278"/>
    <mergeCell ref="F250:F251"/>
    <mergeCell ref="F256:F257"/>
    <mergeCell ref="F259:F260"/>
    <mergeCell ref="F261:F262"/>
    <mergeCell ref="F274:F277"/>
    <mergeCell ref="B279:E288"/>
    <mergeCell ref="B289:H289"/>
  </mergeCells>
  <printOptions headings="0" gridLines="0"/>
  <pageMargins left="0.19685039370078738" right="0.19685039370078738" top="0.78740157480314954" bottom="0.26000000000000001" header="0.51181102362204722" footer="0.21000000000000005"/>
  <pageSetup paperSize="9" scale="49" fitToWidth="1" fitToHeight="0" pageOrder="downThenOver" orientation="landscape" usePrinterDefaults="1" blackAndWhite="1" draft="0" cellComments="none" useFirstPageNumber="0" errors="displayed" horizontalDpi="600" verticalDpi="600" copies="1"/>
  <headerFooter>
    <oddFooter>&amp;CСтраница &amp;P из &amp;N
</oddFooter>
  </headerFooter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AD001F-0077-401B-9CA4-0086002600A8}" type="textLength" allowBlank="1" error="Допускается ввод не более 900 символов!" errorStyle="stop" errorTitle="Ошибка" imeMode="noControl" operator="lessThanOrEqual" showDropDown="0" showErrorMessage="1" showInputMessage="1">
          <x14:formula1>
            <xm:f>900</xm:f>
          </x14:formula1>
          <xm:sqref>F14:G14 G64 F145:G147 F16:G28 F69:G82 F128:G131 F30:G44 F52:G52 F50:G50 F46:G48 F97:G102 F86:G86 F93:G93 F88:G91 F114:G119 F107:G112 F121:G124 F126:G126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ОАО "РАО ЭС ВОСТОКА"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Приструга Наталья Петровна</dc:creator>
  <cp:revision>2</cp:revision>
  <dcterms:created xsi:type="dcterms:W3CDTF">2015-10-28T15:00:45Z</dcterms:created>
  <dcterms:modified xsi:type="dcterms:W3CDTF">2025-04-22T00:51:29Z</dcterms:modified>
</cp:coreProperties>
</file>